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ologicalsociety.sharepoint.com/sites/GSPH-Sales/Shared Documents/DawnTemp/"/>
    </mc:Choice>
  </mc:AlternateContent>
  <xr:revisionPtr revIDLastSave="43" documentId="8_{5DA88EFA-6D49-4301-ACE4-3243613B0145}" xr6:coauthVersionLast="47" xr6:coauthVersionMax="47" xr10:uidLastSave="{AD869366-87B4-4AEB-B2B5-C3FCF2D9EE57}"/>
  <bookViews>
    <workbookView xWindow="-108" yWindow="-108" windowWidth="23256" windowHeight="12456" xr2:uid="{00000000-000D-0000-FFFF-FFFF00000000}"/>
  </bookViews>
  <sheets>
    <sheet name="SP 1 - 500" sheetId="2" r:id="rId1"/>
  </sheets>
  <definedNames>
    <definedName name="_xlnm._FilterDatabase" localSheetId="0" hidden="1">'SP 1 - 500'!$A$1:$I$501</definedName>
    <definedName name="BinNo">#REF!</definedName>
    <definedName name="Categories">#REF!</definedName>
    <definedName name="Description">#REF!</definedName>
    <definedName name="ISBN10">#REF!</definedName>
    <definedName name="ISBN13">#REF!</definedName>
    <definedName name="ListPrice">#REF!</definedName>
    <definedName name="OnlineBookshop">#REF!</definedName>
    <definedName name="_xlnm.Print_Area" localSheetId="0">'SP 1 - 500'!$A$1:$F$502</definedName>
    <definedName name="_xlnm.Print_Titles" localSheetId="0">'SP 1 - 500'!$1:$1</definedName>
    <definedName name="Product">#REF!</definedName>
    <definedName name="ProductDescription">#REF!</definedName>
    <definedName name="StartDate">#REF!</definedName>
    <definedName name="Status">#REF!</definedName>
    <definedName name="StockCount">#REF!</definedName>
    <definedName name="Warehous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501" i="2"/>
  <c r="E500" i="2"/>
  <c r="E499" i="2"/>
  <c r="E497" i="2"/>
  <c r="E498" i="2"/>
  <c r="E495" i="2"/>
  <c r="E496" i="2"/>
  <c r="E494" i="2"/>
  <c r="E493" i="2"/>
  <c r="E492" i="2"/>
  <c r="E491" i="2"/>
  <c r="E490" i="2"/>
  <c r="E489" i="2"/>
  <c r="E488" i="2"/>
  <c r="E487" i="2"/>
  <c r="E486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2" i="2"/>
  <c r="E451" i="2"/>
  <c r="E450" i="2"/>
  <c r="E449" i="2"/>
  <c r="E448" i="2"/>
  <c r="E447" i="2"/>
  <c r="E446" i="2"/>
  <c r="E445" i="2"/>
  <c r="E444" i="2"/>
  <c r="E443" i="2"/>
  <c r="E45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1" i="2"/>
  <c r="E419" i="2"/>
  <c r="E422" i="2"/>
  <c r="E420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357" i="2"/>
  <c r="E485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5" i="2"/>
  <c r="E354" i="2"/>
  <c r="E356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4" i="2"/>
  <c r="E333" i="2"/>
  <c r="E328" i="2"/>
  <c r="E336" i="2"/>
  <c r="E335" i="2"/>
  <c r="E332" i="2"/>
  <c r="E331" i="2"/>
  <c r="E330" i="2"/>
  <c r="E329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3" i="2"/>
  <c r="E212" i="2"/>
  <c r="E211" i="2"/>
  <c r="E210" i="2"/>
  <c r="E214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2" i="2"/>
  <c r="E131" i="2"/>
  <c r="E133" i="2"/>
  <c r="E130" i="2"/>
  <c r="E129" i="2"/>
  <c r="E127" i="2"/>
  <c r="E126" i="2"/>
  <c r="E125" i="2"/>
  <c r="E123" i="2"/>
  <c r="E122" i="2"/>
  <c r="E121" i="2"/>
  <c r="E120" i="2"/>
  <c r="E119" i="2"/>
  <c r="E118" i="2"/>
  <c r="E128" i="2"/>
  <c r="E124" i="2"/>
  <c r="E117" i="2"/>
  <c r="E116" i="2"/>
  <c r="E115" i="2"/>
  <c r="E114" i="2"/>
  <c r="E112" i="2"/>
  <c r="E111" i="2"/>
  <c r="E110" i="2"/>
  <c r="E108" i="2"/>
  <c r="E107" i="2"/>
  <c r="E105" i="2"/>
  <c r="E104" i="2"/>
  <c r="E102" i="2"/>
  <c r="E100" i="2"/>
  <c r="E97" i="2"/>
  <c r="E113" i="2"/>
  <c r="E109" i="2"/>
  <c r="E106" i="2"/>
  <c r="E103" i="2"/>
  <c r="E101" i="2"/>
  <c r="E99" i="2"/>
  <c r="E98" i="2"/>
  <c r="E96" i="2"/>
  <c r="E95" i="2"/>
  <c r="E93" i="2"/>
  <c r="E92" i="2"/>
  <c r="E90" i="2"/>
  <c r="E89" i="2"/>
  <c r="E88" i="2"/>
  <c r="E87" i="2"/>
  <c r="E84" i="2"/>
  <c r="E83" i="2"/>
  <c r="E81" i="2"/>
  <c r="E80" i="2"/>
  <c r="E91" i="2"/>
  <c r="E86" i="2"/>
  <c r="E85" i="2"/>
  <c r="E82" i="2"/>
  <c r="E79" i="2"/>
  <c r="E78" i="2"/>
  <c r="E77" i="2"/>
  <c r="E76" i="2"/>
  <c r="E73" i="2"/>
  <c r="E72" i="2"/>
  <c r="E71" i="2"/>
  <c r="E68" i="2"/>
  <c r="E66" i="2"/>
  <c r="E94" i="2"/>
  <c r="E75" i="2"/>
  <c r="E74" i="2"/>
  <c r="E70" i="2"/>
  <c r="E69" i="2"/>
  <c r="E65" i="2"/>
  <c r="E64" i="2"/>
  <c r="E63" i="2"/>
  <c r="E61" i="2"/>
  <c r="E60" i="2"/>
  <c r="E59" i="2"/>
  <c r="E58" i="2"/>
  <c r="E57" i="2"/>
  <c r="E56" i="2"/>
  <c r="E55" i="2"/>
  <c r="E54" i="2"/>
  <c r="E53" i="2"/>
  <c r="E50" i="2"/>
  <c r="E48" i="2"/>
  <c r="E45" i="2"/>
  <c r="E44" i="2"/>
  <c r="E67" i="2"/>
  <c r="E62" i="2"/>
  <c r="E52" i="2"/>
  <c r="E51" i="2"/>
  <c r="E49" i="2"/>
  <c r="E47" i="2"/>
  <c r="E46" i="2"/>
  <c r="E43" i="2"/>
  <c r="E42" i="2"/>
  <c r="E41" i="2"/>
  <c r="E40" i="2"/>
  <c r="E39" i="2"/>
  <c r="E38" i="2"/>
  <c r="E37" i="2"/>
  <c r="E36" i="2"/>
  <c r="E34" i="2"/>
  <c r="E33" i="2"/>
  <c r="E30" i="2"/>
  <c r="E35" i="2"/>
  <c r="E32" i="2"/>
  <c r="E31" i="2"/>
  <c r="E29" i="2"/>
  <c r="E28" i="2"/>
  <c r="E27" i="2"/>
  <c r="E25" i="2"/>
  <c r="E24" i="2"/>
  <c r="E23" i="2"/>
  <c r="E22" i="2"/>
  <c r="E21" i="2"/>
  <c r="E20" i="2"/>
  <c r="E19" i="2"/>
  <c r="E14" i="2"/>
  <c r="E26" i="2"/>
  <c r="E18" i="2"/>
  <c r="E16" i="2"/>
  <c r="E15" i="2"/>
  <c r="E13" i="2"/>
  <c r="E12" i="2"/>
  <c r="E11" i="2"/>
  <c r="E6" i="2"/>
  <c r="E5" i="2"/>
  <c r="E4" i="2"/>
  <c r="E3" i="2"/>
  <c r="E2" i="2"/>
  <c r="E10" i="2"/>
  <c r="E9" i="2"/>
  <c r="E17" i="2"/>
</calcChain>
</file>

<file path=xl/sharedStrings.xml><?xml version="1.0" encoding="utf-8"?>
<sst xmlns="http://schemas.openxmlformats.org/spreadsheetml/2006/main" count="3209" uniqueCount="1518">
  <si>
    <t>Book title</t>
  </si>
  <si>
    <t>Year</t>
  </si>
  <si>
    <t>Print ISBN-13</t>
  </si>
  <si>
    <t>Lyell Collection URL</t>
  </si>
  <si>
    <t>N/A</t>
  </si>
  <si>
    <t>SP495</t>
  </si>
  <si>
    <t>Cross Border Themes in Petroleum Geology II: Atlantic Margin and Barents Sea</t>
  </si>
  <si>
    <t xml:space="preserve">	978-1-78620-458-5</t>
  </si>
  <si>
    <t>451-500</t>
  </si>
  <si>
    <t>SP494</t>
  </si>
  <si>
    <t>Cross Border Themes in Petroleum Geology I: The North Sea</t>
  </si>
  <si>
    <t>978-1-78620-457-8</t>
  </si>
  <si>
    <t>SP485</t>
  </si>
  <si>
    <t xml:space="preserve">The Great Ordovician Biodiversification Event: Insights from the Tafilalt Biota, Morocco </t>
  </si>
  <si>
    <t>978-1-78620-407-3</t>
  </si>
  <si>
    <t>SP493</t>
  </si>
  <si>
    <t xml:space="preserve">Subsurface Sand Remobilization and Injection </t>
  </si>
  <si>
    <t>978-1-78620-456-1</t>
  </si>
  <si>
    <t>SP492</t>
  </si>
  <si>
    <t>Forensic Soil Science and Geology</t>
  </si>
  <si>
    <t>978-1-78620-455-4</t>
  </si>
  <si>
    <t>SP500</t>
  </si>
  <si>
    <t>Subaqueous Mass Movements and Their Consequences: Advances in Process Understanding, Monitoring and Hazard Assessments</t>
  </si>
  <si>
    <t>978-1-78620-477-6</t>
  </si>
  <si>
    <t>SP499</t>
  </si>
  <si>
    <t>The Changing Role of Geological Surveys</t>
  </si>
  <si>
    <t>978-1-78620-476-9</t>
  </si>
  <si>
    <t>SP498</t>
  </si>
  <si>
    <t xml:space="preserve">Cretaceous Climate Events and Short-Term Sea-Level Changes </t>
  </si>
  <si>
    <t>978-1-78620-474-5</t>
  </si>
  <si>
    <t>SP497</t>
  </si>
  <si>
    <t>Geomagnetic Field Variations in the Past: New data, applications and recent advances</t>
  </si>
  <si>
    <t>978-1-78620-473-8</t>
  </si>
  <si>
    <t>SP496</t>
  </si>
  <si>
    <t xml:space="preserve">Integrated Fault Seal Analysis </t>
  </si>
  <si>
    <t>978-1-78620-459-2</t>
  </si>
  <si>
    <t>SP491</t>
  </si>
  <si>
    <t>Post-Archean Granitic Rocks: Petrogenetic Processes and Tectonic Environments</t>
  </si>
  <si>
    <t>978-1-78620-448-6</t>
  </si>
  <si>
    <t>SP490</t>
  </si>
  <si>
    <t>Fold and Thrust Belts: Structural Style, Evolution and Exploration</t>
  </si>
  <si>
    <t>978-1-78620-447-9</t>
  </si>
  <si>
    <t>SP489</t>
  </si>
  <si>
    <t xml:space="preserve">Archean Granitoids of India: Windows into Early Earth Tectonics </t>
  </si>
  <si>
    <t>978-1-78620-446-2</t>
  </si>
  <si>
    <t>SP487</t>
  </si>
  <si>
    <t>Folding and Fracturing of Rocks: 50 Years of Research since the Seminal Text Book of J. G. Ramsay</t>
  </si>
  <si>
    <t>978-1-78620-429-5</t>
  </si>
  <si>
    <t>SP486</t>
  </si>
  <si>
    <t>Global Heritage Stone: Worldwide Examples of Heritage Stones</t>
  </si>
  <si>
    <t>978-1-78620-408-0</t>
  </si>
  <si>
    <t>SP484</t>
  </si>
  <si>
    <t xml:space="preserve">Application of Analytical Techniques to Petroleum Systems </t>
  </si>
  <si>
    <t>978-1-78620-406-6</t>
  </si>
  <si>
    <t>SP476</t>
  </si>
  <si>
    <t>Passive Margins: Tectonics, Sedimentation and Magmatism</t>
  </si>
  <si>
    <t>978-1-78620-385-4</t>
  </si>
  <si>
    <t>SP488</t>
  </si>
  <si>
    <t>River to Reservoir: Geoscience to Engineering</t>
  </si>
  <si>
    <t>978-1-78620-431-8</t>
  </si>
  <si>
    <t>SP483</t>
  </si>
  <si>
    <t>Himalayan Tectonics: A Modern Synthesis</t>
  </si>
  <si>
    <t>978-1-78620-405-9</t>
  </si>
  <si>
    <t>SP482</t>
  </si>
  <si>
    <t>Multiple Roles of Clays in Radioactive Waste Confinement</t>
  </si>
  <si>
    <t>978-1-78620-404-2</t>
  </si>
  <si>
    <t>SP481</t>
  </si>
  <si>
    <t>Crustal Architecture and Evolution of the Himalaya-Karakoram-Tibet Orogen</t>
  </si>
  <si>
    <t>978-1-78620-403-5</t>
  </si>
  <si>
    <t>SP480</t>
  </si>
  <si>
    <t>Aspects of the Life and Works of Archibald Geikie</t>
  </si>
  <si>
    <t>978-1-78620-402-8</t>
  </si>
  <si>
    <t>SP479</t>
  </si>
  <si>
    <t>Groundwater in Fractured Bedrock Environments: Managing Catchment and Subsurface Resources</t>
  </si>
  <si>
    <t>978-1-78620-401-1</t>
  </si>
  <si>
    <t>SP478</t>
  </si>
  <si>
    <t>Metamorphic Geology: Microscale to Mountain Belts</t>
  </si>
  <si>
    <t>978-1-78620-400-4</t>
  </si>
  <si>
    <t>SP477</t>
  </si>
  <si>
    <t xml:space="preserve">Subaqueous Mass Movements and Their Consequences: Assessing Geohazards, Environmental Implications and Economic Significance of Subaqueous Landslides </t>
  </si>
  <si>
    <t>978-1-78620-382-3</t>
  </si>
  <si>
    <t>SP475</t>
  </si>
  <si>
    <t>Glaciated Margins: The Sedimentary and Geophysical Archive</t>
  </si>
  <si>
    <t>978-1-78620-397-7</t>
  </si>
  <si>
    <t>SP474</t>
  </si>
  <si>
    <t>HP-UHP Metamorphism and the Tectonic Evolution of Orogenic Belts</t>
  </si>
  <si>
    <t>978-1-78620-399-1</t>
  </si>
  <si>
    <t>SP473</t>
  </si>
  <si>
    <t>Military Aspects of Geology: Fortification, Excavation and Terrain Evaluation</t>
  </si>
  <si>
    <t>978-1-78620-394-6</t>
  </si>
  <si>
    <t>SP471</t>
  </si>
  <si>
    <t>Palaeozoic Plays of NW Europe</t>
  </si>
  <si>
    <t>978-1-78620-395-3</t>
  </si>
  <si>
    <t>SP470</t>
  </si>
  <si>
    <t>Fifty Years of the Wilson Cycle Concept in Plate Tectonics</t>
  </si>
  <si>
    <t>978-1-78620-383-0</t>
  </si>
  <si>
    <t>SP467</t>
  </si>
  <si>
    <t>Martian Gullies and their Earth Analogues</t>
  </si>
  <si>
    <t>978-1-78620-360-1</t>
  </si>
  <si>
    <t>SP472</t>
  </si>
  <si>
    <t>Cratonic Basin Formation: A Case Study of the Parnaíba Basin, Brazil</t>
  </si>
  <si>
    <t>978-1-78620-396-0</t>
  </si>
  <si>
    <t>SP469</t>
  </si>
  <si>
    <t>Mesozoic Resource Potential in the Southern Permian Basin</t>
  </si>
  <si>
    <t>978-1-78620-384-7</t>
  </si>
  <si>
    <t>SP468</t>
  </si>
  <si>
    <t>From Source to Seep: Geochemical Applications in Hydrocarbon Systems</t>
  </si>
  <si>
    <t>978-1-78620-366-3</t>
  </si>
  <si>
    <t>SP466</t>
  </si>
  <si>
    <t>Advances in Karst Research: Theory, Fieldwork and Applications</t>
  </si>
  <si>
    <t>978-1-78620-359-5</t>
  </si>
  <si>
    <t>SP465</t>
  </si>
  <si>
    <t>History of the European Oil and Gas Industry</t>
  </si>
  <si>
    <t>978-1-78620-363-2</t>
  </si>
  <si>
    <t>SP464</t>
  </si>
  <si>
    <t>Petroleum Geology of the Black Sea</t>
  </si>
  <si>
    <t>978-1-78620-358-8</t>
  </si>
  <si>
    <t>SP463</t>
  </si>
  <si>
    <t>Large Igneous Provinces from Gondwana and Adjacent Regions</t>
  </si>
  <si>
    <t>978-1-78620-325-0</t>
  </si>
  <si>
    <t>SP462</t>
  </si>
  <si>
    <t>Himalayan Cryosphere: Past and Present</t>
  </si>
  <si>
    <t>978-1-78620-324-3</t>
  </si>
  <si>
    <t>SP461</t>
  </si>
  <si>
    <t>Exploration of Subsurface Antarctica: Uncovering Past Changes and Modern Processes</t>
  </si>
  <si>
    <t>978-1-78620-322-9</t>
  </si>
  <si>
    <t>SP460</t>
  </si>
  <si>
    <t>Circum-Arctic Lithosphere Evolution</t>
  </si>
  <si>
    <t>978-1-78620-323-6</t>
  </si>
  <si>
    <t>SP459</t>
  </si>
  <si>
    <t>Subseismic-Scale Reservoir Deformation</t>
  </si>
  <si>
    <t>978-1-78620-321-2</t>
  </si>
  <si>
    <t>SP456</t>
  </si>
  <si>
    <t>Tsunamis: Geology, Hazards and Risks</t>
  </si>
  <si>
    <t>978-1-78620-318-2</t>
  </si>
  <si>
    <t>SP455</t>
  </si>
  <si>
    <t xml:space="preserve">New Perspectives on Pterosaur Palaeobiology </t>
  </si>
  <si>
    <t>978-1-78620-317-5</t>
  </si>
  <si>
    <t>SP453</t>
  </si>
  <si>
    <t>Characterization of Ore-Forming Systems from Geological, Geochemical and Geophysical Studies</t>
  </si>
  <si>
    <t>978-1-78620-313-7</t>
  </si>
  <si>
    <t>SP451</t>
  </si>
  <si>
    <t>Radon, Health and Natural Hazards</t>
  </si>
  <si>
    <t>978-1-78620-308-3</t>
  </si>
  <si>
    <t>SP450</t>
  </si>
  <si>
    <t>The Permian Timescale</t>
  </si>
  <si>
    <t>978-1-78620-282-6</t>
  </si>
  <si>
    <t>401-450</t>
  </si>
  <si>
    <t>SP440</t>
  </si>
  <si>
    <t>Geology and Geomorphology of Alluvial and Fluvial Fans: Terrestrial and Planetary Perspectives</t>
  </si>
  <si>
    <t>978-1-78620-267-3</t>
  </si>
  <si>
    <t>SP435</t>
  </si>
  <si>
    <t>Reservoir Quality of Clastic and Carbonate Rocks: Analysis, Modelling and Prediction</t>
  </si>
  <si>
    <t>978-1-78620-139-3</t>
  </si>
  <si>
    <t>SP458</t>
  </si>
  <si>
    <t>Geomechanics and Geology</t>
  </si>
  <si>
    <t>978-1-78620-320-5</t>
  </si>
  <si>
    <t>SP457</t>
  </si>
  <si>
    <t>Crustal Evolution of India and Antarctica: The Supercontinent Connection</t>
  </si>
  <si>
    <t>978-1-78620-319-9</t>
  </si>
  <si>
    <t>SP454</t>
  </si>
  <si>
    <t>Geomechanical and Petrophysical Properties of Mudrocks</t>
  </si>
  <si>
    <t>978-1-78620-316-8</t>
  </si>
  <si>
    <t>SP452</t>
  </si>
  <si>
    <t>Geology and Medicine: Historical Connections</t>
  </si>
  <si>
    <t>978-1-78620-283-3</t>
  </si>
  <si>
    <t>SP449</t>
  </si>
  <si>
    <t>Crust–Mantle Interactions and Granitoid Diversification: Insights from Archaean Cratons</t>
  </si>
  <si>
    <t>978-1-78620-280-2</t>
  </si>
  <si>
    <t>SP448</t>
  </si>
  <si>
    <t>Earth System Evolution and Early Life: a Celebration of the Work of Martin Brasier</t>
  </si>
  <si>
    <t>978-1-78620-279-6</t>
  </si>
  <si>
    <t>SP447</t>
  </si>
  <si>
    <t>The NE Atlantic Region: A Reappraisal of Crustal Structure, Tectonostratigraphy and Magmatic Evolution</t>
  </si>
  <si>
    <t>978-1-78620-278-9</t>
  </si>
  <si>
    <t>SP446</t>
  </si>
  <si>
    <t>Monogenetic Volcanism</t>
  </si>
  <si>
    <t>978-1-78620-276-5</t>
  </si>
  <si>
    <t>SP445</t>
  </si>
  <si>
    <t>Tectonics of the Deccan Large Igneous Province</t>
  </si>
  <si>
    <t>978-1-78620-275-8</t>
  </si>
  <si>
    <t>SP444</t>
  </si>
  <si>
    <t>Sedimentology of Paralic Reservoirs: Recent Advances</t>
  </si>
  <si>
    <t>978-1-78620-274-1</t>
  </si>
  <si>
    <t>SP443</t>
  </si>
  <si>
    <t>Radioactive Waste Confinement: Clays in Natural and Engineered Barriers</t>
  </si>
  <si>
    <t>978-1-78620-273-4</t>
  </si>
  <si>
    <t>SP442</t>
  </si>
  <si>
    <t>History of Geoscience: Celebrating 50 Years of INHIGEO</t>
  </si>
  <si>
    <t>978-1-78620-269-7</t>
  </si>
  <si>
    <t>SP441</t>
  </si>
  <si>
    <t>Geohazards in Indonesia: Earth Science for Disaster Risk Reduction</t>
  </si>
  <si>
    <t>978-1-86239-966-2</t>
  </si>
  <si>
    <t>SP439</t>
  </si>
  <si>
    <t>The Geometry and Growth of Normal Faults</t>
  </si>
  <si>
    <t>978-1-86239-967-9</t>
  </si>
  <si>
    <t>SP438</t>
  </si>
  <si>
    <t>Petroleum Geoscience of the West Africa Margin</t>
  </si>
  <si>
    <t>978-1-78620-243-7</t>
  </si>
  <si>
    <t>SP437</t>
  </si>
  <si>
    <t>Geochemistry and Geophysics of Active Volcanic Lakes</t>
  </si>
  <si>
    <t>978-1-78620-244-4</t>
  </si>
  <si>
    <t>SP433</t>
  </si>
  <si>
    <t>Quaternary Glaciation in the Mediterranean Mountains</t>
  </si>
  <si>
    <t>978-1-86239-747-7</t>
  </si>
  <si>
    <t>SP432</t>
  </si>
  <si>
    <t>Seismicity, Fault Rupture and Earthquake Hazards in Slowly Deforming Regions</t>
  </si>
  <si>
    <t>978-1-86239-745-3</t>
  </si>
  <si>
    <t>SP428</t>
  </si>
  <si>
    <t>Tectonic Evolution of the Eastern Black Sea and Caucasus</t>
  </si>
  <si>
    <t>978-1-86239-739-2</t>
  </si>
  <si>
    <t>SP427</t>
  </si>
  <si>
    <t>Geological Evolution of Central Asian Basins and the Western Tien Shan Range</t>
  </si>
  <si>
    <t>978-1-86239-738-5</t>
  </si>
  <si>
    <t>SP408</t>
  </si>
  <si>
    <t>Integrated Environmental Modelling to solve real world problems: methods, vision, and challenges</t>
  </si>
  <si>
    <t>978-1-86239-687-6</t>
  </si>
  <si>
    <t>SP436</t>
  </si>
  <si>
    <t xml:space="preserve">The Value of Outcrop Studies in Reducing Subsurface Uncertainty and Risk in Hydrocarbon Exploration and Production </t>
  </si>
  <si>
    <t>978-1-78620-140-9</t>
  </si>
  <si>
    <t>SP434</t>
  </si>
  <si>
    <t>Mesozoic Biotas of Scandinavia and its Arctic Territories</t>
  </si>
  <si>
    <t>978-1-86239-748-4</t>
  </si>
  <si>
    <t>SP431</t>
  </si>
  <si>
    <t>Transform Margins: Development, Controls and Petroleum Systems</t>
  </si>
  <si>
    <t>978-1-86239-744-6</t>
  </si>
  <si>
    <t>SP430</t>
  </si>
  <si>
    <t>Arthur Smith Woodward: His Life and Influence on Modern Vertebrate Palaeontology</t>
  </si>
  <si>
    <t>978-1-86239-741-5</t>
  </si>
  <si>
    <t>SP429</t>
  </si>
  <si>
    <t>River-Dominated Shelf Sediments of East Asian Seas</t>
  </si>
  <si>
    <t>978-1-86239-740-8</t>
  </si>
  <si>
    <t>SP426</t>
  </si>
  <si>
    <t>Detecting, Modelling and Responding to Effusive Eruptions</t>
  </si>
  <si>
    <t>978-1-86239-736-1</t>
  </si>
  <si>
    <t>SP425</t>
  </si>
  <si>
    <t>Palaeomagnetism in Fold and Thrust Belts: New Perspectives</t>
  </si>
  <si>
    <t>978-1-86239-737-8</t>
  </si>
  <si>
    <t>SP424</t>
  </si>
  <si>
    <t>Supercontinent Cycles Through Earth History</t>
  </si>
  <si>
    <t>978-1-86239-733-0</t>
  </si>
  <si>
    <t>SP423</t>
  </si>
  <si>
    <t>Devonian Climate, Sea Level and Evolutionary Events</t>
  </si>
  <si>
    <t>978-1-86239-734-7</t>
  </si>
  <si>
    <t>SP420</t>
  </si>
  <si>
    <t>Magmatic Rifting and Active Volcanism</t>
  </si>
  <si>
    <t>978-1-86239-729-3</t>
  </si>
  <si>
    <t>SP417</t>
  </si>
  <si>
    <t>Appreciating Physical Landscapes: Three Hundred Years of Geotourism</t>
  </si>
  <si>
    <t>978-1-86239-724-8</t>
  </si>
  <si>
    <t>SP416</t>
  </si>
  <si>
    <t>Sustainable Use of Traditional Geomaterials in Construction Practice</t>
  </si>
  <si>
    <t>978-1-86239-725-5</t>
  </si>
  <si>
    <t>SP411</t>
  </si>
  <si>
    <t>Geology and Archaeology: Submerged Landscapes of the Continental Shelf</t>
  </si>
  <si>
    <t>978-1-86239-691-3</t>
  </si>
  <si>
    <t>SP422</t>
  </si>
  <si>
    <t>Chemical, Physical and Temporal Evolution of Magmatic Systems</t>
  </si>
  <si>
    <t>978-1-86239-732-3</t>
  </si>
  <si>
    <t>SP421</t>
  </si>
  <si>
    <t>Industrial Structural Geology: Principles, Techniques and Integration</t>
  </si>
  <si>
    <t>978-1-86239-730-9</t>
  </si>
  <si>
    <t>SP419</t>
  </si>
  <si>
    <t>Geoethics: the Role and Responsibility of Geoscientists</t>
  </si>
  <si>
    <t>978-1-86239-726-2</t>
  </si>
  <si>
    <t>SP418</t>
  </si>
  <si>
    <t>Microbial Carbonates in Space and Time: Implications for Global Exploration and Production</t>
  </si>
  <si>
    <t>978-1-86239-727-9</t>
  </si>
  <si>
    <t>SP415</t>
  </si>
  <si>
    <t>Gas Generation and Migration in Deep Geological Radioactive Waste Repositories</t>
  </si>
  <si>
    <t>978-1-86239-722-4</t>
  </si>
  <si>
    <t>SP414</t>
  </si>
  <si>
    <t>Magnetic Susceptibility Application</t>
  </si>
  <si>
    <t>978-1-86239-721-7</t>
  </si>
  <si>
    <t>SP413</t>
  </si>
  <si>
    <t>Sedimentary Basins and Crustal Processes at Continental Margins</t>
  </si>
  <si>
    <t>978-1-86239-720-0</t>
  </si>
  <si>
    <t>SP412</t>
  </si>
  <si>
    <t>Tectonics of the Himalaya</t>
  </si>
  <si>
    <t>978-186239-703-3</t>
  </si>
  <si>
    <t>SP410</t>
  </si>
  <si>
    <t>The Role of Volatiles in the Genesis, Evolution and Eruption of Arc Magmas</t>
  </si>
  <si>
    <t>978-1-86239-689-0</t>
  </si>
  <si>
    <t>SP409</t>
  </si>
  <si>
    <t>Rock Deformation from Field, Experiments and Theory</t>
  </si>
  <si>
    <t>978-1-86239-688-3</t>
  </si>
  <si>
    <t>SP407</t>
  </si>
  <si>
    <t>Global Heritage Stone: Towards International Recognition of Building and Ornamental Stones</t>
  </si>
  <si>
    <t>978-1-86239-685-2</t>
  </si>
  <si>
    <t>SP406</t>
  </si>
  <si>
    <t>Fundamental Controls on Fluid Flow in Carbonates: Current Workflows to Emerging Technologies</t>
  </si>
  <si>
    <t>978-1-86239-659-3</t>
  </si>
  <si>
    <t>SP404</t>
  </si>
  <si>
    <t>Strata and Time: Probing the Gaps in Our Understanding</t>
  </si>
  <si>
    <t>978-1-86239-655-5</t>
  </si>
  <si>
    <t>SP403</t>
  </si>
  <si>
    <t>Tertiary Deep-Marine Reservoirs of the North Sea Region</t>
  </si>
  <si>
    <t>978-1-86239-656-2</t>
  </si>
  <si>
    <t>SP401</t>
  </si>
  <si>
    <t>Volcanism and Tectonism Across the Inner Solar System</t>
  </si>
  <si>
    <t>978-1-86239-632-6</t>
  </si>
  <si>
    <t>SP399</t>
  </si>
  <si>
    <t>Geodynamic Processes in the Andes of Central Chile and Argentina</t>
  </si>
  <si>
    <t>978-1-86239-653-1</t>
  </si>
  <si>
    <t>301-400</t>
  </si>
  <si>
    <t>SP396</t>
  </si>
  <si>
    <t>The Use of Palaeomagnetism and Rock Magnetism to Understand Volcanic Processes</t>
  </si>
  <si>
    <t>978-1-86239-629-6</t>
  </si>
  <si>
    <t>SP393</t>
  </si>
  <si>
    <t xml:space="preserve">Ore Deposits in an Evolving Earth </t>
  </si>
  <si>
    <t>978-1-86239-626-5</t>
  </si>
  <si>
    <t>SP389</t>
  </si>
  <si>
    <t>Continent Formation Through Time</t>
  </si>
  <si>
    <t>978-1-86239-375-2</t>
  </si>
  <si>
    <t>SP405</t>
  </si>
  <si>
    <t>Variscan Orogeny, The: Extent, Timescale and the Formation of the European Crust</t>
  </si>
  <si>
    <t>978-1-86239-658-6</t>
  </si>
  <si>
    <t>SP402</t>
  </si>
  <si>
    <t>Gold-Transporting Hydrothermal Fluids in the Earth's Crust</t>
  </si>
  <si>
    <t>978-1-86239-657-9</t>
  </si>
  <si>
    <t>SP400</t>
  </si>
  <si>
    <t>Clays in Natural and Engineered Barriers for Radioactive Waste Confinement</t>
  </si>
  <si>
    <t>978-1-86239-654-8</t>
  </si>
  <si>
    <t>SP398</t>
  </si>
  <si>
    <t>Marine Tephrochronology</t>
  </si>
  <si>
    <t>978-1-86239-641-8</t>
  </si>
  <si>
    <t>SP397</t>
  </si>
  <si>
    <t>Hydrocarbon Exploration to Exploitation West of Shetlands</t>
  </si>
  <si>
    <t>978-1-86239-652-4</t>
  </si>
  <si>
    <t>SP395</t>
  </si>
  <si>
    <t>A Stratigraphical Basis for the Anthropocene</t>
  </si>
  <si>
    <t>978-1-86239-628-9</t>
  </si>
  <si>
    <t>SP394</t>
  </si>
  <si>
    <t>Deformation Structures and Processes within the Continental Crust</t>
  </si>
  <si>
    <t>978-1-86239-627-2</t>
  </si>
  <si>
    <t>SP392</t>
  </si>
  <si>
    <t>Tectonic Evolution of the Oman Mountains</t>
  </si>
  <si>
    <t>978-1-86239-378-3</t>
  </si>
  <si>
    <t>SP391</t>
  </si>
  <si>
    <t>Stone in Historic Buildings: Characterization and Performance</t>
  </si>
  <si>
    <t>978-1-86239-376-9</t>
  </si>
  <si>
    <t>SP390</t>
  </si>
  <si>
    <t>New Perspectives on the Caledonides of Scandinavia and Related Areas</t>
  </si>
  <si>
    <t>978-1-86239-377-6</t>
  </si>
  <si>
    <t>SP388</t>
  </si>
  <si>
    <t>Sedimentary Coastal Zones from High to Low Latitudes: Similarities and Differences</t>
  </si>
  <si>
    <t>978-1-86239-374-5</t>
  </si>
  <si>
    <t>SP387</t>
  </si>
  <si>
    <t>Sediment-Body Geometry and Heterogeneity</t>
  </si>
  <si>
    <t>978-1-86239-372-1</t>
  </si>
  <si>
    <t>SP386</t>
  </si>
  <si>
    <t>Sediment Provenance Studies in Hydrocarbon Exploration and Production</t>
  </si>
  <si>
    <t>978-1-86239-370-7</t>
  </si>
  <si>
    <t>SP385</t>
  </si>
  <si>
    <t>Orogenic Andesites and Crustal Growth</t>
  </si>
  <si>
    <t>978-1-86239-369-1</t>
  </si>
  <si>
    <t>SP378</t>
  </si>
  <si>
    <r>
      <t xml:space="preserve">Advances in </t>
    </r>
    <r>
      <rPr>
        <vertAlign val="superscript"/>
        <sz val="8"/>
        <rFont val="Arial"/>
        <family val="2"/>
      </rPr>
      <t>40</t>
    </r>
    <r>
      <rPr>
        <sz val="8"/>
        <rFont val="Arial"/>
        <family val="2"/>
      </rPr>
      <t>Ar/</t>
    </r>
    <r>
      <rPr>
        <vertAlign val="superscript"/>
        <sz val="8"/>
        <rFont val="Arial"/>
        <family val="2"/>
      </rPr>
      <t>39</t>
    </r>
    <r>
      <rPr>
        <sz val="8"/>
        <rFont val="Arial"/>
        <family val="2"/>
      </rPr>
      <t xml:space="preserve">Ar Dating: From Archaeology to Planetary Sciences   </t>
    </r>
  </si>
  <si>
    <t>978-1-86239-360-8</t>
  </si>
  <si>
    <t>SP374</t>
  </si>
  <si>
    <t>Advances in the Study of Fractured Reservoirs</t>
  </si>
  <si>
    <t>978-1-86239-355-4</t>
  </si>
  <si>
    <t>SP384</t>
  </si>
  <si>
    <t>Environmental and Criminal Geoforensics</t>
  </si>
  <si>
    <t>978-1-86239-366-0</t>
  </si>
  <si>
    <t>SP383</t>
  </si>
  <si>
    <t>Antarctica and Supercontinent Evolution</t>
  </si>
  <si>
    <t>978-1-86239-367-7</t>
  </si>
  <si>
    <t>SP382</t>
  </si>
  <si>
    <t>Isotopic Studies in Cretaceous Research</t>
  </si>
  <si>
    <t>978-1-86239-364-6</t>
  </si>
  <si>
    <t>SP381</t>
  </si>
  <si>
    <t>Antarctic Palaeoenvironments and Earth-Surface Processes</t>
  </si>
  <si>
    <t>978-1-86239-363-9</t>
  </si>
  <si>
    <t>SP380</t>
  </si>
  <si>
    <t>Remote Sensing of Volcanoes and Volcanic Processes: Integrating Observation and Modelling</t>
  </si>
  <si>
    <t>978-1-86239-362-2</t>
  </si>
  <si>
    <t>SP379</t>
  </si>
  <si>
    <t>Anatomy, Phylogeny and Palaeobiology of Early Archosaurs and their Kin</t>
  </si>
  <si>
    <t>978-1-86239-361-5</t>
  </si>
  <si>
    <t>SP377</t>
  </si>
  <si>
    <t>Thick-Skin-Dominated Orogens: From Initial Inversion to Full Accretion</t>
  </si>
  <si>
    <t>978-1-86239-358-5</t>
  </si>
  <si>
    <t>SP376</t>
  </si>
  <si>
    <t>Palaeozoic Climate Cycles: Their Evolutionary and Sedimentological Impact</t>
  </si>
  <si>
    <t>978-1-86239-357-8</t>
  </si>
  <si>
    <t>SP375</t>
  </si>
  <si>
    <t>A History of Geology and Medicine</t>
  </si>
  <si>
    <t>978-1-86239-356-1</t>
  </si>
  <si>
    <t>SP373</t>
  </si>
  <si>
    <t>Magnetic Methods and the Timing of Geological Processes</t>
  </si>
  <si>
    <t>978-1-86239-354-7</t>
  </si>
  <si>
    <t>SP372</t>
  </si>
  <si>
    <t>Geological Development of Anatolia and the Easternmost Mediterranean Region</t>
  </si>
  <si>
    <t>978-1-86239-353-0</t>
  </si>
  <si>
    <t>SP369</t>
  </si>
  <si>
    <t>Conjugate Divergent Margins</t>
  </si>
  <si>
    <t>978-1-86239-349-3</t>
  </si>
  <si>
    <t>SP371</t>
  </si>
  <si>
    <t xml:space="preserve">Remagnetization and Chemical Alteration of Sedimentary Rocks </t>
  </si>
  <si>
    <t>978-1-86239-351-6</t>
  </si>
  <si>
    <t>SP370</t>
  </si>
  <si>
    <t>Advances in Carbonate Exploration and Reservoir Analysis</t>
  </si>
  <si>
    <t>978-1-86239-350-9</t>
  </si>
  <si>
    <t>SP368</t>
  </si>
  <si>
    <t>Glaciogenic Reservoirs and Hydrocarbon Systems</t>
  </si>
  <si>
    <t>978-1-86239-348-6</t>
  </si>
  <si>
    <t>SP367</t>
  </si>
  <si>
    <t>Faulting, Fracturing and Igneous Intrusion in the Earth's Crust</t>
  </si>
  <si>
    <t>978-1-86239-347-9</t>
  </si>
  <si>
    <t>SP366</t>
  </si>
  <si>
    <t>Geology and Hydrocarbon Potential of Neoproterozoic-Cambrian Basins in Asia</t>
  </si>
  <si>
    <t>978-1-86239-346-2</t>
  </si>
  <si>
    <t>SP365</t>
  </si>
  <si>
    <t>Palaeoproterozoic of India</t>
  </si>
  <si>
    <t>978-1-86239-345-5</t>
  </si>
  <si>
    <t>SP364</t>
  </si>
  <si>
    <t>Groundwater Resources Modelling: A Case Study from the UK</t>
  </si>
  <si>
    <t>978-1-86239-344-8</t>
  </si>
  <si>
    <t>SP363</t>
  </si>
  <si>
    <t>Salt Tectonics, Sediments and Prospectivity</t>
  </si>
  <si>
    <t>978-1-86239-341-7</t>
  </si>
  <si>
    <t>SP362</t>
  </si>
  <si>
    <t>Military Aspects of Hydrogeology</t>
  </si>
  <si>
    <t>978-1-86239-340-0</t>
  </si>
  <si>
    <t>SP361</t>
  </si>
  <si>
    <t>Natural Hazards in the Asia–Pacific Region: Recent Advances and Emerging Concepts</t>
  </si>
  <si>
    <t>978-1-86239-339-4</t>
  </si>
  <si>
    <t>SP360</t>
  </si>
  <si>
    <t>Deformation Mechanisms, Rheology and Tectonics: Microstructures, Mechanics and Anisotropy</t>
  </si>
  <si>
    <t>978-1-86239-338-7</t>
  </si>
  <si>
    <t>SP359</t>
  </si>
  <si>
    <t>Geology of the Earthquake Source: A Volume in Honour of Rick Sibson</t>
  </si>
  <si>
    <t>978-1-86239-337-0</t>
  </si>
  <si>
    <t>SP358</t>
  </si>
  <si>
    <t>Comparing the Geological and Fossil Record</t>
  </si>
  <si>
    <t>978-1-86239-336-3</t>
  </si>
  <si>
    <t>SP357</t>
  </si>
  <si>
    <t xml:space="preserve">The Formation and Evolution of Africa: A Synopsis of 3.8 Ga of Earth History </t>
  </si>
  <si>
    <t>978-1-86239-335-6</t>
  </si>
  <si>
    <t>SP356</t>
  </si>
  <si>
    <t>Martian Geomorphology</t>
  </si>
  <si>
    <t>978-1-86239-330-1</t>
  </si>
  <si>
    <t>SP355</t>
  </si>
  <si>
    <t>The SE Asian Gateway: History and Tectonics of the Australia-Asia Collision</t>
  </si>
  <si>
    <t>978-1-86239-329-5</t>
  </si>
  <si>
    <t>SP354</t>
  </si>
  <si>
    <t>Ice-Marginal and Periglacial Processes and Sediments</t>
  </si>
  <si>
    <t>978-1-86239-327-1</t>
  </si>
  <si>
    <t>SP353</t>
  </si>
  <si>
    <t>Growth and Collapse of the Tibetan Plateau</t>
  </si>
  <si>
    <t>978-1-86239-326-4</t>
  </si>
  <si>
    <t>SP352</t>
  </si>
  <si>
    <t xml:space="preserve">Human Interaction with the Geosphere: The Geoarchaeological Perspective </t>
  </si>
  <si>
    <t>978-1-86239-325-7</t>
  </si>
  <si>
    <t>SP351</t>
  </si>
  <si>
    <t>Slope Tectonics</t>
  </si>
  <si>
    <t>978-1-86239-324-0</t>
  </si>
  <si>
    <t>SP350</t>
  </si>
  <si>
    <t>Granite-Related Ore Deposits</t>
  </si>
  <si>
    <t>978-1-86239-321-9</t>
  </si>
  <si>
    <t>SP349</t>
  </si>
  <si>
    <t>Kinematic Evolution and Structural Styles of Fold-and-Thrust Belts</t>
  </si>
  <si>
    <t>978-1-86239-320-2</t>
  </si>
  <si>
    <t>SP348</t>
  </si>
  <si>
    <t>Hydrocarbons in Contractional Belts</t>
  </si>
  <si>
    <t>978-1-86239-317-2</t>
  </si>
  <si>
    <t>SP347</t>
  </si>
  <si>
    <t>Reservoir Compartmentalisation</t>
  </si>
  <si>
    <t>978-1-86239-316-5</t>
  </si>
  <si>
    <t>SP346</t>
  </si>
  <si>
    <t>Australian Landscapes</t>
  </si>
  <si>
    <t>978-1-86239-314-1</t>
  </si>
  <si>
    <t>SP345</t>
  </si>
  <si>
    <t>Elevation Models for Geoscience</t>
  </si>
  <si>
    <t>978-1-86239-313-4</t>
  </si>
  <si>
    <t>SP344</t>
  </si>
  <si>
    <t>Fjord Systems and Archives</t>
  </si>
  <si>
    <t>978-1-86239-312-7</t>
  </si>
  <si>
    <t>SP343</t>
  </si>
  <si>
    <t>Dinosaurs and Other Extinct Saurians: A Historical Perspective</t>
  </si>
  <si>
    <t>978-1-86239-311-0</t>
  </si>
  <si>
    <t>SP342</t>
  </si>
  <si>
    <t>Monsoon Evolution and Tectonic-Climate Linkage in Asia</t>
  </si>
  <si>
    <t>978-1-86239-310-3</t>
  </si>
  <si>
    <t>SP341</t>
  </si>
  <si>
    <t>Evolution of the Levant Margin and Western Arabia Platform since the Mesozoic</t>
  </si>
  <si>
    <t>978-1-86239-306-6</t>
  </si>
  <si>
    <t>SP340</t>
  </si>
  <si>
    <t>Sedimentary Basin Tectonics from the Black Sea and Caucasus to the Arabian Platform</t>
  </si>
  <si>
    <t>978-1-86239-308-0</t>
  </si>
  <si>
    <t>SP339</t>
  </si>
  <si>
    <t>The Terrestrialization Process: Modelling Complex Interactions at the Biosphere-Geosphere Interface</t>
  </si>
  <si>
    <t>978-1-86239-309-7</t>
  </si>
  <si>
    <t>SP338</t>
  </si>
  <si>
    <t>The Evolving Continents: Understanding Processes of Continental Growth</t>
  </si>
  <si>
    <t>978-1-86239-303-5</t>
  </si>
  <si>
    <t>SP337</t>
  </si>
  <si>
    <t>Petrological Evolution of the European Lithospheric Mantle: From Archaean to Present Day</t>
  </si>
  <si>
    <t>978-1-86239-304-2</t>
  </si>
  <si>
    <t>SP336</t>
  </si>
  <si>
    <t>Tufas and Speleothems: Unravelling the Microbial and Physical Controls</t>
  </si>
  <si>
    <t>978-1-86239-301-1</t>
  </si>
  <si>
    <t>SP335</t>
  </si>
  <si>
    <t>Continental Tectonics and Mountain Building: The Legacy of Peach &amp; Horne</t>
  </si>
  <si>
    <t>978-1-86239-300-4</t>
  </si>
  <si>
    <t>SP334</t>
  </si>
  <si>
    <t>Triassic Timescale</t>
  </si>
  <si>
    <t>978-1-86239-296-0</t>
  </si>
  <si>
    <t>SP333</t>
  </si>
  <si>
    <t>Natural Stone Resources for Historical Monuments</t>
  </si>
  <si>
    <t>978-1-86239-291-5</t>
  </si>
  <si>
    <t>SP332</t>
  </si>
  <si>
    <t>Advances in Interpretation of Geological Processes: Refinement of Multi-scale Data and Integration in Numerical Modelling</t>
  </si>
  <si>
    <t>978-1-86239-295-3</t>
  </si>
  <si>
    <t>SP331</t>
  </si>
  <si>
    <t>Limestone in the Built Environment: Present-Day Challenges for Preservation of the Past</t>
  </si>
  <si>
    <t>978-1-86239-294-6</t>
  </si>
  <si>
    <t>SP330</t>
  </si>
  <si>
    <t>Tectonic and Stratigraphic Evolution of Zagros and Makran during the Mesozoic-Cenozoic</t>
  </si>
  <si>
    <t>978-1-86239-293-9</t>
  </si>
  <si>
    <t>SP329</t>
  </si>
  <si>
    <t>Mesozoic and Cenozoic Carbonate Systems of the Mediterranean and the Middle East: Stratigraphic and diagenetic reference models</t>
  </si>
  <si>
    <t>978-1-86239-292-2</t>
  </si>
  <si>
    <t>SP328</t>
  </si>
  <si>
    <t>Origin and Evolution of the Caribbean Plate</t>
  </si>
  <si>
    <t>978-1-86239-288-5</t>
  </si>
  <si>
    <t>SP327</t>
  </si>
  <si>
    <t>Ancient Orogens and Modern Analogues</t>
  </si>
  <si>
    <t>978-1-86239-289-2</t>
  </si>
  <si>
    <t>SP326</t>
  </si>
  <si>
    <t>Global Neoproterozoic Hydrocarbon Systems: The Emerging Potential in North Africa</t>
  </si>
  <si>
    <t>978-1-86239-287-8</t>
  </si>
  <si>
    <t>SP325</t>
  </si>
  <si>
    <t>Early Palaeozoic Peri-Gondwanan Terranes</t>
  </si>
  <si>
    <t>978-1-86239-286-1</t>
  </si>
  <si>
    <t>SP324</t>
  </si>
  <si>
    <t>Thermochronological Methods: From Palaeotemperature Constraints to Landscape Evolution Models</t>
  </si>
  <si>
    <t>978-1-86239-285-4</t>
  </si>
  <si>
    <t>SP323</t>
  </si>
  <si>
    <t>Palaeoproterozoic Supercontinents and Global Evolution</t>
  </si>
  <si>
    <t>978-1-86239-283-0</t>
  </si>
  <si>
    <t>SP322</t>
  </si>
  <si>
    <t xml:space="preserve">Geohazard in Rocky Coastal Areas </t>
  </si>
  <si>
    <t>978-1-86239-282-3</t>
  </si>
  <si>
    <t>SP321</t>
  </si>
  <si>
    <t xml:space="preserve">Extending a Continent: Architecture, Rheology and Heat Budget </t>
  </si>
  <si>
    <t>978-1-86239-284-7</t>
  </si>
  <si>
    <t>SP320</t>
  </si>
  <si>
    <t xml:space="preserve">Periglacial and Paraglacial Processes and Environments </t>
  </si>
  <si>
    <t>978-1-86239-281-6</t>
  </si>
  <si>
    <t>SP319</t>
  </si>
  <si>
    <t>Sediment-Hosted Gas Hydrates: New Insights on Natural and Synthetic Systems</t>
  </si>
  <si>
    <t>978-1-86239-279-3</t>
  </si>
  <si>
    <t>SP318</t>
  </si>
  <si>
    <t>Earth Accretionary Systems in Space and Time</t>
  </si>
  <si>
    <t>978-1-86239-278-6</t>
  </si>
  <si>
    <t>SP317</t>
  </si>
  <si>
    <t>The Making of the Geological Society of London</t>
  </si>
  <si>
    <t>978-1-86239-277-9</t>
  </si>
  <si>
    <t>SP316</t>
  </si>
  <si>
    <t>Palaeoseismology: Historical and prehistorical records of earthquake ground effects for seismic hazard assessment</t>
  </si>
  <si>
    <t>978-1-86239-276-2</t>
  </si>
  <si>
    <t>SP315</t>
  </si>
  <si>
    <t xml:space="preserve">Late Palaeozoic and Mesozoic Ecosystems in SE Asia </t>
  </si>
  <si>
    <t>978-1-86239-275-5</t>
  </si>
  <si>
    <t>SP314</t>
  </si>
  <si>
    <t xml:space="preserve">Devonian Change: Case Studies in Palaeogeography and Palaeoecology </t>
  </si>
  <si>
    <t>978-1-86239-273-1</t>
  </si>
  <si>
    <t>SP313</t>
  </si>
  <si>
    <t>Underground Gas Storage: Worldwide Experiences and Future Development in the UK and Europe</t>
  </si>
  <si>
    <t>978-1-86239-272-4</t>
  </si>
  <si>
    <t>SP312</t>
  </si>
  <si>
    <t>South Caspian to Central Iran Basins</t>
  </si>
  <si>
    <t>978-1-86239-271-7</t>
  </si>
  <si>
    <t>SP311</t>
  </si>
  <si>
    <t>Collision and Collapse at the Africa-Arabia-Eurasia Subduction Zone</t>
  </si>
  <si>
    <t>978-1-86239-270-0</t>
  </si>
  <si>
    <t>SP310</t>
  </si>
  <si>
    <t>Geology and Religion: Historical views of an intense relationship between harmony and hostility</t>
  </si>
  <si>
    <t>978-1-86239-269-4</t>
  </si>
  <si>
    <t>SP309</t>
  </si>
  <si>
    <t>The Future of Geological Modelling in Hydrocarbon Development</t>
  </si>
  <si>
    <t>978-186239-266-3</t>
  </si>
  <si>
    <t>SP308</t>
  </si>
  <si>
    <t xml:space="preserve">Geodynamic Evolution of East Antarctica: A key to the East-West Gondwana Connection </t>
  </si>
  <si>
    <t>978-1-86239-268-7</t>
  </si>
  <si>
    <t>SP307</t>
  </si>
  <si>
    <t>Fluid Motions in Volcanic Conduits: A Source of Seismic and Acoustic Signals</t>
  </si>
  <si>
    <t>978-1-86239-262-5</t>
  </si>
  <si>
    <t>SP306</t>
  </si>
  <si>
    <t xml:space="preserve">The Nature &amp; Origin of Compression in Passive Margins    </t>
  </si>
  <si>
    <t>978-1-86239-261-8</t>
  </si>
  <si>
    <t>SP305</t>
  </si>
  <si>
    <t>Communicating Environmental Geoscience</t>
  </si>
  <si>
    <t>978-1-86239-260-1</t>
  </si>
  <si>
    <t>SP304</t>
  </si>
  <si>
    <t>Dynamics of Crustal Magma Transfer, Storage and Differentiation</t>
  </si>
  <si>
    <t>978-1-86239-258-8</t>
  </si>
  <si>
    <t>SP303</t>
  </si>
  <si>
    <t>Biogeochemical Controls on Palaeoceanographic Climate Proxies</t>
  </si>
  <si>
    <t>978-1-86239-257-1</t>
  </si>
  <si>
    <t>SP302</t>
  </si>
  <si>
    <t>Structure and Emplacement of High-Level Magmatic Systems</t>
  </si>
  <si>
    <t>978-1-86239-256-4</t>
  </si>
  <si>
    <t>SP301</t>
  </si>
  <si>
    <t>History of Geomorphology and Quaternary Geology</t>
  </si>
  <si>
    <t>978-1-86239-255-7</t>
  </si>
  <si>
    <t>SP300</t>
  </si>
  <si>
    <t>The History of Geoconservation</t>
  </si>
  <si>
    <t>978-1-86239-254-0</t>
  </si>
  <si>
    <t>201-300</t>
  </si>
  <si>
    <t>SP299</t>
  </si>
  <si>
    <t>The Internal Structure of Fault Zones</t>
  </si>
  <si>
    <t>978-1-86239-253-3</t>
  </si>
  <si>
    <t>SP298</t>
  </si>
  <si>
    <t>Tectonic Aspects of the Alpine-Dinaride-Carpathian System</t>
  </si>
  <si>
    <t>978-1-86239-252-6</t>
  </si>
  <si>
    <t>SP297</t>
  </si>
  <si>
    <t>The Boundaries of the West African Craton</t>
  </si>
  <si>
    <t>978-1-86239-251-9</t>
  </si>
  <si>
    <t>SP296</t>
  </si>
  <si>
    <t>Landscape Evolution</t>
  </si>
  <si>
    <t>978-1-86239-250-2</t>
  </si>
  <si>
    <t>SP295</t>
  </si>
  <si>
    <t>Fishes and the Break-up of Pangea</t>
  </si>
  <si>
    <t>978-1-86239-248-9</t>
  </si>
  <si>
    <t>SP294</t>
  </si>
  <si>
    <t>West Gondwana: Pre-Cenozoic correlations across the South Atlantic region</t>
  </si>
  <si>
    <t>978-1-86239-247-2</t>
  </si>
  <si>
    <t>SP293</t>
  </si>
  <si>
    <t>Metasomatism in Oceanic and Continental Lithospheric Mantle</t>
  </si>
  <si>
    <t>978-1-86239-242-7</t>
  </si>
  <si>
    <t>SP288</t>
  </si>
  <si>
    <t>Climate Change and Groundwater</t>
  </si>
  <si>
    <t>978-1-86239-235-9</t>
  </si>
  <si>
    <t>SP292</t>
  </si>
  <si>
    <t>Structurally Complex Reservoirs</t>
  </si>
  <si>
    <t>978-1-86239-241-0</t>
  </si>
  <si>
    <t>SP291</t>
  </si>
  <si>
    <t>The Geodynamics of the Aegean and Anatolia</t>
  </si>
  <si>
    <t>978-1-86239-239-7</t>
  </si>
  <si>
    <t>SP290</t>
  </si>
  <si>
    <t>Tectonics of Strike-Slip Restraining and Releasing Bends</t>
  </si>
  <si>
    <t>978-1-86239-238-0</t>
  </si>
  <si>
    <t>SP289</t>
  </si>
  <si>
    <t>The Relationship Between Damage and Localization</t>
  </si>
  <si>
    <t>978-186239-236-6</t>
  </si>
  <si>
    <t>SP287</t>
  </si>
  <si>
    <t>Four Centuries of Geological Travel</t>
  </si>
  <si>
    <t>978-186239-234-2</t>
  </si>
  <si>
    <t>SP286</t>
  </si>
  <si>
    <t>The Rise and Fall of the Ediacaran Biota</t>
  </si>
  <si>
    <t>978-1-86239-233-5</t>
  </si>
  <si>
    <t>SP285</t>
  </si>
  <si>
    <t>Evaporites Through Space and Time</t>
  </si>
  <si>
    <t>978-186239-232-8</t>
  </si>
  <si>
    <t>SP284</t>
  </si>
  <si>
    <t>Rock Physics and Geomechanics in the Study of Reservoir and Repositories</t>
  </si>
  <si>
    <t>978-186239-230-4</t>
  </si>
  <si>
    <t>SP283</t>
  </si>
  <si>
    <t>Mapping Hazardous Terrain Using Remote Sensing</t>
  </si>
  <si>
    <t>978-186239-229-8</t>
  </si>
  <si>
    <t>SP282</t>
  </si>
  <si>
    <t>Imaging, Mapping and Modelling Extensional Processes</t>
  </si>
  <si>
    <t>978-186239-228-1</t>
  </si>
  <si>
    <t>SP281</t>
  </si>
  <si>
    <t>The Role of Women in the History of Geology</t>
  </si>
  <si>
    <t>978-186239-227-4</t>
  </si>
  <si>
    <t>SP280</t>
  </si>
  <si>
    <t>Mesozoic Sub-Continental Lithospheric Thinning Under Eastern Asia</t>
  </si>
  <si>
    <t>978-186239-225-0</t>
  </si>
  <si>
    <t>SP279</t>
  </si>
  <si>
    <t>Natural and Anthropogenic Hazards in Karst Areas</t>
  </si>
  <si>
    <t>978-186239-224-3</t>
  </si>
  <si>
    <t>SP278</t>
  </si>
  <si>
    <t>Devonian Events and Correlations</t>
  </si>
  <si>
    <t>978-186239-222-9</t>
  </si>
  <si>
    <t>SP277</t>
  </si>
  <si>
    <t>Seismic Geomorphology</t>
  </si>
  <si>
    <t>978-186239-223-6</t>
  </si>
  <si>
    <t>SP276</t>
  </si>
  <si>
    <t>Economic and Palaeoceanographic Importance of Contourites</t>
  </si>
  <si>
    <t>978-186239-226-7</t>
  </si>
  <si>
    <t>SP275</t>
  </si>
  <si>
    <t>Palaeozoic Reefs and Bioaccumulations</t>
  </si>
  <si>
    <t>978-186239-221-2</t>
  </si>
  <si>
    <t>SP274</t>
  </si>
  <si>
    <t>Coastal and Shelf Sediment Transport</t>
  </si>
  <si>
    <t>978-186239-217-5</t>
  </si>
  <si>
    <t>SP273</t>
  </si>
  <si>
    <t>Myth &amp; Geology</t>
  </si>
  <si>
    <t>978-186239-216-8</t>
  </si>
  <si>
    <t>SP272</t>
  </si>
  <si>
    <t>Deformation of the Continental Crust</t>
  </si>
  <si>
    <t>978-186239-215-1</t>
  </si>
  <si>
    <t>SP271</t>
  </si>
  <si>
    <t>Building Stone Decay from Diagnosis to Conservation</t>
  </si>
  <si>
    <t>978-186239-218-2</t>
  </si>
  <si>
    <t>SP270</t>
  </si>
  <si>
    <t>Fractured Reservoirs</t>
  </si>
  <si>
    <t>978-186239-213-7</t>
  </si>
  <si>
    <t>SP269</t>
  </si>
  <si>
    <t>Mechanisms of Activity and Unrests at Large Calderas</t>
  </si>
  <si>
    <t>978-186239-211-3</t>
  </si>
  <si>
    <t>SP268</t>
  </si>
  <si>
    <t>Channel Flow, Ductile Extrusion and Exhumation</t>
  </si>
  <si>
    <t>978-1-86239-209-0</t>
  </si>
  <si>
    <t>SP267</t>
  </si>
  <si>
    <t>New Techniques in Sediment Core Analysis</t>
  </si>
  <si>
    <t>978-1-86239-210-6</t>
  </si>
  <si>
    <t>SP266</t>
  </si>
  <si>
    <t>Functions of Soils for Human Societies and the Environment</t>
  </si>
  <si>
    <t>978-1-86239-207-6</t>
  </si>
  <si>
    <t>SP265</t>
  </si>
  <si>
    <t>Non-Marine Permian Biostratigraphy and Biochronology</t>
  </si>
  <si>
    <t>978-1-86239-206-9</t>
  </si>
  <si>
    <t>SP264</t>
  </si>
  <si>
    <t>Compositional Data Analysis in the Geosciences</t>
  </si>
  <si>
    <t>978-1-86239-205-2</t>
  </si>
  <si>
    <t>SP263</t>
  </si>
  <si>
    <t xml:space="preserve">Fluid Flow and Solute Movement in Sandstones: The Onshore UK Permo-Triassic Red Bed Sequence </t>
  </si>
  <si>
    <t>978-1-86239-204-5</t>
  </si>
  <si>
    <t>SP262</t>
  </si>
  <si>
    <t>Tectonics of the Western Mediterranean and North Africa</t>
  </si>
  <si>
    <t>978-1-86239-202-1</t>
  </si>
  <si>
    <t>SP261</t>
  </si>
  <si>
    <t>Fractal Analysis for Natural Hazards</t>
  </si>
  <si>
    <t>978-1-86239-201-4</t>
  </si>
  <si>
    <t>SP260</t>
  </si>
  <si>
    <t>Tectonic Development of the Eastern Mediterranean Region</t>
  </si>
  <si>
    <t>978-1-86239-198-7</t>
  </si>
  <si>
    <t>SP259</t>
  </si>
  <si>
    <t>The Afar Volcanic Province within the East African Rift System</t>
  </si>
  <si>
    <t>978-1-86239-196-3</t>
  </si>
  <si>
    <t>SP258</t>
  </si>
  <si>
    <t>Cretaceous-Tertiary High-Latitude Palaeoenvironments</t>
  </si>
  <si>
    <t>978-1-86239-197-0</t>
  </si>
  <si>
    <t>SP257</t>
  </si>
  <si>
    <t>Geomaterials in Cultural Heritage</t>
  </si>
  <si>
    <t>978-1-86239-195-6</t>
  </si>
  <si>
    <t>SP256</t>
  </si>
  <si>
    <t>The History of Meteorites and Key Meteorite Collections: fireballs, Falls and Finds</t>
  </si>
  <si>
    <t>978-1-86239-194-9</t>
  </si>
  <si>
    <t>SP255</t>
  </si>
  <si>
    <t>Cool Water Carbonates: Depositional Systems and Palaeoenvironmental Controls</t>
  </si>
  <si>
    <t>978-1-86239-193-2</t>
  </si>
  <si>
    <t>SP254</t>
  </si>
  <si>
    <t>The Deliberate Search for the Stratigraphic Trap</t>
  </si>
  <si>
    <t>978-1-86239-192-5</t>
  </si>
  <si>
    <t>SP253</t>
  </si>
  <si>
    <t>Analogue and Numerical Modelling of Crustal-Scale Processes</t>
  </si>
  <si>
    <t>978-1-86239-191-8</t>
  </si>
  <si>
    <t>SP252</t>
  </si>
  <si>
    <t>The Neuquen Basin, Argentina</t>
  </si>
  <si>
    <t>978-1-86239-190-1</t>
  </si>
  <si>
    <t>SP251</t>
  </si>
  <si>
    <t>Alluvial Fans</t>
  </si>
  <si>
    <t>978-1-86239-189-5</t>
  </si>
  <si>
    <t>SP250</t>
  </si>
  <si>
    <t>Sustainable Minerals Operations in the Developing Worlds</t>
  </si>
  <si>
    <t>978-1-86239-188-8</t>
  </si>
  <si>
    <t>SP249</t>
  </si>
  <si>
    <t>Understanding the Micro to Macro Behaviour of rock-Fluid Systems</t>
  </si>
  <si>
    <t>978-1-86239-186-4</t>
  </si>
  <si>
    <t>SP248</t>
  </si>
  <si>
    <t>Mineral Deposits and Earth Evolution</t>
  </si>
  <si>
    <t>978-1-86239-182-6</t>
  </si>
  <si>
    <t>SP247</t>
  </si>
  <si>
    <t>Early-Middle Pleistocene Transitions</t>
  </si>
  <si>
    <t>978-1-86239-181-9</t>
  </si>
  <si>
    <t>SP246</t>
  </si>
  <si>
    <t>Terrane Processes at the Margins of Gondwana</t>
  </si>
  <si>
    <t>978-1-86239-179-6</t>
  </si>
  <si>
    <t>SP245</t>
  </si>
  <si>
    <t>High-Strain Zones</t>
  </si>
  <si>
    <t>978-1-86239-178-9</t>
  </si>
  <si>
    <t>SP244</t>
  </si>
  <si>
    <t>Submarine Slope Systems</t>
  </si>
  <si>
    <t>978-1-86239-177-2</t>
  </si>
  <si>
    <t>SP243</t>
  </si>
  <si>
    <t>Deformation Mechanisms, Rheology and Tectonics: from Minerals to the Lithosphere</t>
  </si>
  <si>
    <t>978-1-86239-176-5</t>
  </si>
  <si>
    <t>SP242</t>
  </si>
  <si>
    <t>Cryospheric Systems: Glaciers and Permafrost</t>
  </si>
  <si>
    <t>978-1-86239-175-8</t>
  </si>
  <si>
    <t>SP241</t>
  </si>
  <si>
    <t>History of Palaeobotany</t>
  </si>
  <si>
    <t>978-1-86239-174-1</t>
  </si>
  <si>
    <t>SP240</t>
  </si>
  <si>
    <t>Petrophysical Properties of Crystal Rock</t>
  </si>
  <si>
    <t>978-1-86239-173-4</t>
  </si>
  <si>
    <t>SP239</t>
  </si>
  <si>
    <t>Geological Prior Information</t>
  </si>
  <si>
    <t>978-1-86239-171-0</t>
  </si>
  <si>
    <t>SP238</t>
  </si>
  <si>
    <t>Magnetic Fabric</t>
  </si>
  <si>
    <t>978-1-86239-170-3</t>
  </si>
  <si>
    <t>SP237</t>
  </si>
  <si>
    <t>Understanding Petroleum Reservoirs: Towards an Integrated Reservoir Engineering and Geochemical Approach</t>
  </si>
  <si>
    <t>978-1-86239-168-0</t>
  </si>
  <si>
    <t>SP236</t>
  </si>
  <si>
    <t>Energy, Waste and the Environment: a Geochemical Perspective</t>
  </si>
  <si>
    <t>978-1-86239-167-3</t>
  </si>
  <si>
    <t>SP235</t>
  </si>
  <si>
    <t>The Geometry and Petrogenesis of Dolomite Hydrocarbon Reservoirs</t>
  </si>
  <si>
    <t>978-1-86239-166-6</t>
  </si>
  <si>
    <t>SP234</t>
  </si>
  <si>
    <t>Physical Geology High-Level Magmatic Systems</t>
  </si>
  <si>
    <t>978-1-86239-169-7</t>
  </si>
  <si>
    <t>SP233</t>
  </si>
  <si>
    <t>Geological Storage of Carbon Dioxide</t>
  </si>
  <si>
    <t>978-1-86239-163-5</t>
  </si>
  <si>
    <t>SP232</t>
  </si>
  <si>
    <t>Forensic Geoscience</t>
  </si>
  <si>
    <t>978-1-86239-161-1</t>
  </si>
  <si>
    <t>SP231</t>
  </si>
  <si>
    <t>The Initiation, Propagation, and Arrest of Joints and Other Fractures</t>
  </si>
  <si>
    <t>978-1-86239-165-9</t>
  </si>
  <si>
    <t>SP230</t>
  </si>
  <si>
    <t>The Palynology and Micropalaeontology of Boundaries</t>
  </si>
  <si>
    <t>978-1-86239-160-4</t>
  </si>
  <si>
    <t>SP229</t>
  </si>
  <si>
    <t>Origin and Evolution of the Ontong Java Plateau</t>
  </si>
  <si>
    <t>978-1-86239-157-4</t>
  </si>
  <si>
    <t>SP228</t>
  </si>
  <si>
    <t>The Application of Ichnology to Palaeoenvironmental and Stratigraphic Analysis</t>
  </si>
  <si>
    <t>978-1-86239-154-3</t>
  </si>
  <si>
    <t>SP227</t>
  </si>
  <si>
    <t>Vertical Coupling and Decoupling in the Lithosphere</t>
  </si>
  <si>
    <t>978-1-86239-159-8</t>
  </si>
  <si>
    <t>SP226</t>
  </si>
  <si>
    <t>Aspects of the Tectonic Evolution of China</t>
  </si>
  <si>
    <t>978-1-86239-156-7</t>
  </si>
  <si>
    <t>SP225</t>
  </si>
  <si>
    <t>200 Years of British Hydrogeology</t>
  </si>
  <si>
    <t>978-1-86239-155-0</t>
  </si>
  <si>
    <t>SP224</t>
  </si>
  <si>
    <t>Flow Processes in Faults and shear Zones</t>
  </si>
  <si>
    <t>978-1-86239-153-6</t>
  </si>
  <si>
    <t>SP223</t>
  </si>
  <si>
    <t>Permo-Carboniferous Magmatism and Rifting in Europe</t>
  </si>
  <si>
    <t>978-1-86239-152-9</t>
  </si>
  <si>
    <t>SP222</t>
  </si>
  <si>
    <t>Confined Turbidite Systems</t>
  </si>
  <si>
    <t>978-1-86239-149-9</t>
  </si>
  <si>
    <t>SP221</t>
  </si>
  <si>
    <t>Deep-Water Sedimentation in the Alpine Basin SE France</t>
  </si>
  <si>
    <t>978-1-86239-148-2</t>
  </si>
  <si>
    <t>SP220</t>
  </si>
  <si>
    <t>Geochronology: Linking Isotope Record with Petrology and Textures</t>
  </si>
  <si>
    <t>978-1-86239-146-8</t>
  </si>
  <si>
    <t>SP219</t>
  </si>
  <si>
    <t>Intra-Oceanic Subduction Systems</t>
  </si>
  <si>
    <t>978-1-86239-147-5</t>
  </si>
  <si>
    <t>SP218</t>
  </si>
  <si>
    <t>Ophiolites in Earth History</t>
  </si>
  <si>
    <t>978-1-86239-145-1</t>
  </si>
  <si>
    <t>SP217</t>
  </si>
  <si>
    <t>Evolution and Palaeobiology of Pterosaurs</t>
  </si>
  <si>
    <t>978-1-86239-143-7</t>
  </si>
  <si>
    <t>SP216</t>
  </si>
  <si>
    <t>Subsurface Sediment Mobilization</t>
  </si>
  <si>
    <t>978-1-86239-141-3</t>
  </si>
  <si>
    <t>SP215</t>
  </si>
  <si>
    <t>Application of X-ray Computed Tomography in the Geosciences</t>
  </si>
  <si>
    <t>978-1-86239-139-0</t>
  </si>
  <si>
    <t>SP214</t>
  </si>
  <si>
    <t>Hydrocarbons in Crystalline Rocks</t>
  </si>
  <si>
    <t>978-1-86239-137-6</t>
  </si>
  <si>
    <t>SP213</t>
  </si>
  <si>
    <t>Volcanic Degassing</t>
  </si>
  <si>
    <t>978-1-86239-136-9</t>
  </si>
  <si>
    <t>SP212</t>
  </si>
  <si>
    <t>New Insights into Structural Interpretation and Modelling</t>
  </si>
  <si>
    <t>978-1-86239-133-8</t>
  </si>
  <si>
    <t>SP211</t>
  </si>
  <si>
    <t>Ground Penetrating Radar in Sediments</t>
  </si>
  <si>
    <t>978-1-86239-131-4</t>
  </si>
  <si>
    <t>SP210</t>
  </si>
  <si>
    <t>Intraplate Strike-slip Deformation Belts</t>
  </si>
  <si>
    <t>978-1-86239-132-1</t>
  </si>
  <si>
    <t>SP209</t>
  </si>
  <si>
    <t>Fracture &amp; In-Situ Stress Characterization of Hydrocarbon Reservoirs</t>
  </si>
  <si>
    <t>978-1-86239-130-7</t>
  </si>
  <si>
    <t>SP208</t>
  </si>
  <si>
    <t>Tracing Tectonic Deformation Using the Sedimentary Record</t>
  </si>
  <si>
    <t>978-1-86239-129-1</t>
  </si>
  <si>
    <t>SP207</t>
  </si>
  <si>
    <t>Petroleum Geology of Africa: New Themes and Developing Technologies</t>
  </si>
  <si>
    <t>978-1-86239-128-4</t>
  </si>
  <si>
    <t>SP206</t>
  </si>
  <si>
    <t>Proterozoic East Gondwana: Supercontinent Assembly and Breakup</t>
  </si>
  <si>
    <t>978-1-86239-125-3</t>
  </si>
  <si>
    <t>SP205</t>
  </si>
  <si>
    <t>Natural Stone Weathering Phenomena, Conservation Strategies and Case Studies</t>
  </si>
  <si>
    <t>978-1-86239-123-9</t>
  </si>
  <si>
    <t>SP204</t>
  </si>
  <si>
    <t>The Timing and Location of Major Ore Deposits in an Evolving Orogen</t>
  </si>
  <si>
    <t>978-1-86239-122-2</t>
  </si>
  <si>
    <t>SP203</t>
  </si>
  <si>
    <t>Glacier Influenced Sedimentation on High-Latitude Continental Margins</t>
  </si>
  <si>
    <t>978-1-86239-120-8</t>
  </si>
  <si>
    <t>SP202</t>
  </si>
  <si>
    <t>Volcano-Ice Interaction on Earth and Mars</t>
  </si>
  <si>
    <t>978-1-86239-121-5</t>
  </si>
  <si>
    <t>SP201</t>
  </si>
  <si>
    <t>Palaeozoic Amalgamation of Central Europe</t>
  </si>
  <si>
    <t>978-1-86239-118-5</t>
  </si>
  <si>
    <t>SP200</t>
  </si>
  <si>
    <t>Deformation Mechanisms, Rheology and Tectonics: Current Status and Future Perspectives</t>
  </si>
  <si>
    <t>978-1-86239-117-8</t>
  </si>
  <si>
    <t>101-200</t>
  </si>
  <si>
    <t>SP199</t>
  </si>
  <si>
    <t>The Early Earth: Physical, Chemical and Biological Development</t>
  </si>
  <si>
    <t>978-1-86239-109-3</t>
  </si>
  <si>
    <t>SP198</t>
  </si>
  <si>
    <t>Mine Water Hydrogeology and Geochemistry</t>
  </si>
  <si>
    <t>978-1-86239-113-0</t>
  </si>
  <si>
    <t>SP197</t>
  </si>
  <si>
    <t>The North Atlantic Igneous Province: Stratigraphy, Tectonic, Volcanic and Magmatic Processes</t>
  </si>
  <si>
    <t>978-1-86239-108-6</t>
  </si>
  <si>
    <t>SP196</t>
  </si>
  <si>
    <t>Exhumation of the North Atlantic Margin: Timing, Mechanisms and Implications for Petroleum Exploration</t>
  </si>
  <si>
    <t>978-1-86239-112-3</t>
  </si>
  <si>
    <t>SP195</t>
  </si>
  <si>
    <t>The Tectonic and Climatic Evolution of the Arabian Sea Region</t>
  </si>
  <si>
    <t>978-1-86239-111-6</t>
  </si>
  <si>
    <t>Palaeobiogeography and Biodiversity Change: the Ordovician and Mesozoic-Cenozoic Radiations</t>
  </si>
  <si>
    <t>978-1-86239-106-2</t>
  </si>
  <si>
    <t>SP193</t>
  </si>
  <si>
    <t>Sustainable Groundwater Development</t>
  </si>
  <si>
    <t>978-1-86239-097-3</t>
  </si>
  <si>
    <t>SP192</t>
  </si>
  <si>
    <t>The Earth Inside and Out: Some Major contributions to Geology in the Twentieth Century</t>
  </si>
  <si>
    <t>978-1-86239-096-6</t>
  </si>
  <si>
    <t>SP191</t>
  </si>
  <si>
    <t>Sediment Flux to Basins: Causes, Controls and Consequences</t>
  </si>
  <si>
    <t>978-1-86239-095-9</t>
  </si>
  <si>
    <t>SP190</t>
  </si>
  <si>
    <t>The Age of the Earth: from 4004BC to AD2002</t>
  </si>
  <si>
    <t>978-1-86239-093-5</t>
  </si>
  <si>
    <t>SP189</t>
  </si>
  <si>
    <t>Palaeowaters in Coastal Europe: evolution of groundwater since the late Pleistocene</t>
  </si>
  <si>
    <t>978-1-86239-086-7</t>
  </si>
  <si>
    <t>SP188</t>
  </si>
  <si>
    <t>The Petroleum Exploration of Ireland's Offshore Basins</t>
  </si>
  <si>
    <t>978-1-86239-087-4</t>
  </si>
  <si>
    <t>SP187</t>
  </si>
  <si>
    <t>Non-volcanic Rifting of Continental Margins</t>
  </si>
  <si>
    <t>978-1-86239-091-1</t>
  </si>
  <si>
    <t>SP186</t>
  </si>
  <si>
    <t>The Nature and Tectonic Significance of Fault Zone Weakening</t>
  </si>
  <si>
    <t>978-1-86239-090-4</t>
  </si>
  <si>
    <t>SP185</t>
  </si>
  <si>
    <t>Drift Exploration in Glaciated Terrain</t>
  </si>
  <si>
    <t>978-1-86239-082-9</t>
  </si>
  <si>
    <t>SP184</t>
  </si>
  <si>
    <t>Continental Reactivation and Reworking</t>
  </si>
  <si>
    <t>978-1-86239-080-5</t>
  </si>
  <si>
    <t>SP183</t>
  </si>
  <si>
    <t>Western North Atlantic Palaeogene and Cretaceous Palaeoceanography</t>
  </si>
  <si>
    <t>978-1-86239-078-2</t>
  </si>
  <si>
    <t>SP182</t>
  </si>
  <si>
    <t>Groundwater in the Celtic Regions: Studies in Hard Rock and Quaternary Hydrogeology</t>
  </si>
  <si>
    <t>978-1-86239-077-5</t>
  </si>
  <si>
    <t>SP181</t>
  </si>
  <si>
    <t>Climate: Past and Present</t>
  </si>
  <si>
    <t>978-1-86239-075-1</t>
  </si>
  <si>
    <t>SP180</t>
  </si>
  <si>
    <t>New Perspectives on the Old Red Sandstone</t>
  </si>
  <si>
    <t>978-1-86239-071-3</t>
  </si>
  <si>
    <t>SP179</t>
  </si>
  <si>
    <t>Orogenic Processes: Quantification and Modelling in the Variscan Belt</t>
  </si>
  <si>
    <t>978-1-86239-073-7</t>
  </si>
  <si>
    <t>SP178</t>
  </si>
  <si>
    <t>Carbonate Platform Systems: components and interactions</t>
  </si>
  <si>
    <t>978-1-86239-074-4</t>
  </si>
  <si>
    <t>SP177</t>
  </si>
  <si>
    <t>Evolutionary Biology of the Bivalvia</t>
  </si>
  <si>
    <t>978-1-86239-076-8</t>
  </si>
  <si>
    <t>SP176</t>
  </si>
  <si>
    <t>Deformation of Glacial Materials</t>
  </si>
  <si>
    <t>978-1-86239-072-0</t>
  </si>
  <si>
    <t>SP175</t>
  </si>
  <si>
    <t>Coastal and Estuarine Environments: sedimentology, geomorphology and geoarchaeology</t>
  </si>
  <si>
    <t>978-1-86239-070-6</t>
  </si>
  <si>
    <t>SP173</t>
  </si>
  <si>
    <t>Tectonics and Magmatism in Turkey and the Surrounding Area</t>
  </si>
  <si>
    <t>978-1-86239-064-5</t>
  </si>
  <si>
    <t>SP172</t>
  </si>
  <si>
    <t>Sedimentary Response to Forced Regression</t>
  </si>
  <si>
    <t>978-1-86239-063-8</t>
  </si>
  <si>
    <t>SP171</t>
  </si>
  <si>
    <t>The Archaeology of Geological Catastrophes</t>
  </si>
  <si>
    <t>978-1-86239-062-1</t>
  </si>
  <si>
    <t>SP170</t>
  </si>
  <si>
    <t>Tectonics of Nanga Parbat Syntaxis and the Western Himalaya</t>
  </si>
  <si>
    <t>978-1-86239-061-4</t>
  </si>
  <si>
    <t>SP167</t>
  </si>
  <si>
    <t>Dynamics of the Norwegian Margin</t>
  </si>
  <si>
    <t>978-1-86239-056-0</t>
  </si>
  <si>
    <t>SP166</t>
  </si>
  <si>
    <t>Holocene Land-Ocean Interaction and Environmental Change around the North Sea</t>
  </si>
  <si>
    <t>978-1-86239-054-6</t>
  </si>
  <si>
    <t>SP174</t>
  </si>
  <si>
    <t>Salt, Shale and Igneous Diapirs in and around Europe</t>
  </si>
  <si>
    <t>978-1-86239-066-9</t>
  </si>
  <si>
    <t>SP169</t>
  </si>
  <si>
    <t>Forced Folds and Fractures</t>
  </si>
  <si>
    <t>978-1-86239-060-7</t>
  </si>
  <si>
    <t>SP168</t>
  </si>
  <si>
    <t>Understanding Granites: Integrating New and Classical Techniques</t>
  </si>
  <si>
    <t>978-1-86239-058-4</t>
  </si>
  <si>
    <t>SP165</t>
  </si>
  <si>
    <t>Geoarchaeology: exploration, environments, resources</t>
  </si>
  <si>
    <t>978-1-86239-053-9</t>
  </si>
  <si>
    <t>SP164</t>
  </si>
  <si>
    <t>Continental Tectonics</t>
  </si>
  <si>
    <t>978-1-86239-051-5</t>
  </si>
  <si>
    <t>SP163</t>
  </si>
  <si>
    <t>Floodplains: Interdisciplinary Approaches</t>
  </si>
  <si>
    <t>978-1-86239-050-8</t>
  </si>
  <si>
    <t>SP162</t>
  </si>
  <si>
    <t xml:space="preserve">Uplift, Erosion and Stability: perspectives on long-term landscape development </t>
  </si>
  <si>
    <t>978-1-86239-047-8</t>
  </si>
  <si>
    <t>SP161</t>
  </si>
  <si>
    <t>Volcanoes in the Quaternary</t>
  </si>
  <si>
    <t>978-1-86239-049-2</t>
  </si>
  <si>
    <t>SP160</t>
  </si>
  <si>
    <t>In Sight of the Suture: the Palaeozoic geology of the Isle of Man in its Iapetus Ocean context</t>
  </si>
  <si>
    <t>978-1-86239-046-1</t>
  </si>
  <si>
    <t>SP159</t>
  </si>
  <si>
    <t>Borehole Imaging: Applications and Case Histories</t>
  </si>
  <si>
    <t>978-1-86239-043-0</t>
  </si>
  <si>
    <t>SP158</t>
  </si>
  <si>
    <t>Muds and Mudstones: Physical and Fluid-Flow Properties</t>
  </si>
  <si>
    <t>978-1-86239-044-7</t>
  </si>
  <si>
    <t>SP157</t>
  </si>
  <si>
    <t>Chemical Containment of Waste in the Geosphere</t>
  </si>
  <si>
    <t>978-1-86239-040-9</t>
  </si>
  <si>
    <t>SP156</t>
  </si>
  <si>
    <t>The Mediterranean Basins: Tertiary Extension within the Alpine Orogen</t>
  </si>
  <si>
    <t>978-1-86239-033-1</t>
  </si>
  <si>
    <t>SP155</t>
  </si>
  <si>
    <t xml:space="preserve">Fractures, Fluid Flow and Mineralization </t>
  </si>
  <si>
    <t>978-1-86239-034-8</t>
  </si>
  <si>
    <t>SP154</t>
  </si>
  <si>
    <t>Exhumation Processes: Normal Faulting, Ductile Flow and Erosion</t>
  </si>
  <si>
    <t>978-1-86239-032-4</t>
  </si>
  <si>
    <t>SP153</t>
  </si>
  <si>
    <t>The Oil and Gas Habitats of the South Atlantic</t>
  </si>
  <si>
    <t>978-1-86239-030-0</t>
  </si>
  <si>
    <t>SP152</t>
  </si>
  <si>
    <t>Biostratigraphy in Production and Development Geology</t>
  </si>
  <si>
    <t>978-1-86239-031-7</t>
  </si>
  <si>
    <t>SP151</t>
  </si>
  <si>
    <t>Palaeomagmatism &amp; Diagenesis in Sediments</t>
  </si>
  <si>
    <t>978-1-86239-028-7</t>
  </si>
  <si>
    <t>SP150</t>
  </si>
  <si>
    <t>James Hutton: Present and Future</t>
  </si>
  <si>
    <t>978-1-86239-026-3</t>
  </si>
  <si>
    <t>SP149</t>
  </si>
  <si>
    <t>Carbonate Ramps</t>
  </si>
  <si>
    <t>978-1-86239-025-6</t>
  </si>
  <si>
    <t>SP146</t>
  </si>
  <si>
    <t>Coastal Tectonics</t>
  </si>
  <si>
    <t>978-1-86239-024-9</t>
  </si>
  <si>
    <t>SP148</t>
  </si>
  <si>
    <t>Modern Ocean Floor Processes and the Geological Record</t>
  </si>
  <si>
    <t>978-1-86239-023-2</t>
  </si>
  <si>
    <t>SP147</t>
  </si>
  <si>
    <t>Faulting, Fault Sealing and Fluid Flow in Hydrocarbon Reservoirs</t>
  </si>
  <si>
    <t>978-1-86239-022-5</t>
  </si>
  <si>
    <t>SP144</t>
  </si>
  <si>
    <t>Dating and Duration Fluid Flow and Fluid-Rocks Interaction</t>
  </si>
  <si>
    <t>978-1-86239-019-5</t>
  </si>
  <si>
    <t>SP143</t>
  </si>
  <si>
    <t>Lyell: The Past is the Key to the Present</t>
  </si>
  <si>
    <t>978-1-86239-018-8</t>
  </si>
  <si>
    <t>SP142</t>
  </si>
  <si>
    <t>The Proto-Andean Margin of Gondwana</t>
  </si>
  <si>
    <t>978-1-86239-021-8</t>
  </si>
  <si>
    <t>SP141</t>
  </si>
  <si>
    <t>Basin Modelling: Practice and Progress</t>
  </si>
  <si>
    <t>978-1-86239-008-9</t>
  </si>
  <si>
    <t>SP140</t>
  </si>
  <si>
    <t>Meteorites - Flux with Time and Impact Effects</t>
  </si>
  <si>
    <t>978-1-86239-017-1</t>
  </si>
  <si>
    <t>SP139</t>
  </si>
  <si>
    <t>Sediment Processes in the Intertidal Zone</t>
  </si>
  <si>
    <t>978-1-86239-013-3</t>
  </si>
  <si>
    <t>SP138</t>
  </si>
  <si>
    <t>What Drives Metamorphism and Metamorphic Reactions?</t>
  </si>
  <si>
    <t>978-1-86239-009-6</t>
  </si>
  <si>
    <t>SP137</t>
  </si>
  <si>
    <t>Gas Hydrates Relevance to world margin stability and climatic change</t>
  </si>
  <si>
    <t>978-1-86239-010-2</t>
  </si>
  <si>
    <t>SP136</t>
  </si>
  <si>
    <t>Core-Log Integration</t>
  </si>
  <si>
    <t>978-1-86239-016-4</t>
  </si>
  <si>
    <t>SP135</t>
  </si>
  <si>
    <t>Continental Transpressional and Transtensional Tectonics</t>
  </si>
  <si>
    <t>978-1-86239-007-2</t>
  </si>
  <si>
    <t>SP134</t>
  </si>
  <si>
    <t>Cenozoic Foreland Basins Western Europe</t>
  </si>
  <si>
    <t>978-1-86239-015-7</t>
  </si>
  <si>
    <t>SP133</t>
  </si>
  <si>
    <t>Development, Evolution and Petroleum Geology of the Wessex Basin</t>
  </si>
  <si>
    <t>978-1-897799-99-4</t>
  </si>
  <si>
    <t>SP132</t>
  </si>
  <si>
    <t xml:space="preserve">Petroleum Geology of North Africa </t>
  </si>
  <si>
    <t>978-1-86239-004-1</t>
  </si>
  <si>
    <t>SP131</t>
  </si>
  <si>
    <t>Geological Evolution of Ocean Basins: Results from the Ocean Drilling Program</t>
  </si>
  <si>
    <t>978-1-86239-003-4</t>
  </si>
  <si>
    <t>SP130</t>
  </si>
  <si>
    <t>Groundwater Pollution, Acquifer Recharge and Vulnerability</t>
  </si>
  <si>
    <t>978-1-897799-98-7</t>
  </si>
  <si>
    <t>SP129</t>
  </si>
  <si>
    <t>Geological Processes on Continental Margins: Sedimentation, Mass-Wasting and Stability</t>
  </si>
  <si>
    <t>978-1-897799-97-0</t>
  </si>
  <si>
    <t>SP128</t>
  </si>
  <si>
    <t>Groundwater Contaminants and their Migration</t>
  </si>
  <si>
    <t>978-1-897799-95-6</t>
  </si>
  <si>
    <t>SP127</t>
  </si>
  <si>
    <t>Structural Geology in Reservoir Characterization</t>
  </si>
  <si>
    <t>978-1-897799-94-9</t>
  </si>
  <si>
    <t>SP126</t>
  </si>
  <si>
    <t>Petroleum Geology of Southeast Asia</t>
  </si>
  <si>
    <t>978-1-897799-91-8</t>
  </si>
  <si>
    <t>SP125</t>
  </si>
  <si>
    <t>European Coal Geology and Technology</t>
  </si>
  <si>
    <t>978-1-897799-86-4</t>
  </si>
  <si>
    <t>SP124</t>
  </si>
  <si>
    <t>Petroleum Geology of the Irish Sea and Adjacent Areas</t>
  </si>
  <si>
    <t>978-1-897799-84-0</t>
  </si>
  <si>
    <t>SP123</t>
  </si>
  <si>
    <t>Petroleum Geology of the Southern North Sea: Future Potential</t>
  </si>
  <si>
    <t>978-1-897799-82-6</t>
  </si>
  <si>
    <t>SP122</t>
  </si>
  <si>
    <t>Developments In Petrophysics</t>
  </si>
  <si>
    <t>978-1-897799-81-9</t>
  </si>
  <si>
    <t>SP121</t>
  </si>
  <si>
    <t>Orogeny Through Time</t>
  </si>
  <si>
    <t>978-1-897799-75-8</t>
  </si>
  <si>
    <t>SP120</t>
  </si>
  <si>
    <t>Palaeosurfaces: Recognition, Reconstruction and Palaeoenvironmental Interpretation</t>
  </si>
  <si>
    <t>978-1-897799-57-4</t>
  </si>
  <si>
    <t>SP119</t>
  </si>
  <si>
    <t>Manganese Mineralization: Geochemistry and Mineralogy of Terrestrial and Marine Deposits</t>
  </si>
  <si>
    <t>978-1-897799-74-1</t>
  </si>
  <si>
    <t>SP118</t>
  </si>
  <si>
    <t>Tectonic, Magmatic, Hydrothermal, and Biological Segmentation of Mid-Ocean Ridges</t>
  </si>
  <si>
    <t>978-1-897799-72-7</t>
  </si>
  <si>
    <t>SP117</t>
  </si>
  <si>
    <t>Geology of Siliciclastic Shelf Seas</t>
  </si>
  <si>
    <t>978-1-897799-71-0</t>
  </si>
  <si>
    <t>SP116</t>
  </si>
  <si>
    <t>Palaeoclimatology and Palaeoceanography from Laminated Sediments</t>
  </si>
  <si>
    <t>978-1-897799-67-3</t>
  </si>
  <si>
    <t>SP115</t>
  </si>
  <si>
    <t>Global Continental Changes: the context of Palaeohydrology</t>
  </si>
  <si>
    <t>978-1-897799-69-7</t>
  </si>
  <si>
    <t>SP114</t>
  </si>
  <si>
    <t>Geology of The Humber Group: Central Graben and Moray Firth, UKCS</t>
  </si>
  <si>
    <t>978-1-897799-70-3</t>
  </si>
  <si>
    <t>SP113</t>
  </si>
  <si>
    <t>Environmental Geochemistry and Health</t>
  </si>
  <si>
    <t>978-1-897799-64-2</t>
  </si>
  <si>
    <t>SP112</t>
  </si>
  <si>
    <t>Precambrian Crustal Evolution in the North Atlantic Region</t>
  </si>
  <si>
    <t>978-1-897799-62-8</t>
  </si>
  <si>
    <t>SP111</t>
  </si>
  <si>
    <t>Late Quaternary Palaeoceanography of the North Atlantic Margins</t>
  </si>
  <si>
    <t>978-1-897799-61-1</t>
  </si>
  <si>
    <t>SP110</t>
  </si>
  <si>
    <t>Volcano Instability on the Earth and Other Planets</t>
  </si>
  <si>
    <t>978-1-897799-60-4</t>
  </si>
  <si>
    <t>SP109</t>
  </si>
  <si>
    <t>Coalbed Methane and Coal Geology</t>
  </si>
  <si>
    <t>978-1-897799-56-7</t>
  </si>
  <si>
    <t>SP108</t>
  </si>
  <si>
    <t>Weddell Sea Tectonics and Gondwana Break-up</t>
  </si>
  <si>
    <t>978-1-897799-59-8</t>
  </si>
  <si>
    <t>SP107</t>
  </si>
  <si>
    <t>Recent Advances in Lower Carboniferous Geology</t>
  </si>
  <si>
    <t>978-1-897799-58-1</t>
  </si>
  <si>
    <t>SP106</t>
  </si>
  <si>
    <t>Tectonic Evolution of Southeast Asia</t>
  </si>
  <si>
    <t>978-1-897799-52-9</t>
  </si>
  <si>
    <t>SP105</t>
  </si>
  <si>
    <t>Palaeomagnetism and Tectonics of the Mediterranean Region</t>
  </si>
  <si>
    <t>978-1-897799-55-0</t>
  </si>
  <si>
    <t>SP104</t>
  </si>
  <si>
    <t>High Resolution Sequence Stratigraphy: Innovations and Applications</t>
  </si>
  <si>
    <t>978-1-897799-48-2</t>
  </si>
  <si>
    <t>SP103</t>
  </si>
  <si>
    <t>Sequence Stratigraphy In British Geology</t>
  </si>
  <si>
    <t>978-1-897799-49-9</t>
  </si>
  <si>
    <t>SP102</t>
  </si>
  <si>
    <t>Biotic Recovery From Mass Extinction Events</t>
  </si>
  <si>
    <t>978-1-897799-45-1</t>
  </si>
  <si>
    <t>SP101</t>
  </si>
  <si>
    <t>Correlation of the Early Palaeogene In Northwest Europe</t>
  </si>
  <si>
    <t>978-1-897799-47-5</t>
  </si>
  <si>
    <t>SP100</t>
  </si>
  <si>
    <t>Salt Tectonics</t>
  </si>
  <si>
    <t>978-1-897799-44-4</t>
  </si>
  <si>
    <t>1-100</t>
  </si>
  <si>
    <t>SP099</t>
  </si>
  <si>
    <t xml:space="preserve">Modern Developments In Structural Interpretation, Validation and Modelling </t>
  </si>
  <si>
    <t>978-1-897799-43-7</t>
  </si>
  <si>
    <t>SP017</t>
  </si>
  <si>
    <t>The Geological Evolution of the Eastern Mediterranean</t>
  </si>
  <si>
    <t>978-1-897799-66-6</t>
  </si>
  <si>
    <t>SP145</t>
  </si>
  <si>
    <t xml:space="preserve">The Physics of Explosive Volcanic Eruptions </t>
  </si>
  <si>
    <t>978-1-86239-020-1</t>
  </si>
  <si>
    <t>SP098</t>
  </si>
  <si>
    <t xml:space="preserve">Palaeomagnetic Applications in Hydrocarbon Exploration and Production </t>
  </si>
  <si>
    <t>978-1-897799-42-0</t>
  </si>
  <si>
    <t>SP097</t>
  </si>
  <si>
    <t>Geological Data Management</t>
  </si>
  <si>
    <t>978-1-897799-39-0</t>
  </si>
  <si>
    <t>SP096</t>
  </si>
  <si>
    <t xml:space="preserve">Island Britain: a Quaternary Perspective </t>
  </si>
  <si>
    <t>978-1-897799-40-6</t>
  </si>
  <si>
    <t>SP095</t>
  </si>
  <si>
    <t>Early Precambrian Processes</t>
  </si>
  <si>
    <t>978-1-897799-36-9</t>
  </si>
  <si>
    <t>SP094</t>
  </si>
  <si>
    <t>Characterization of Deep Marine Clastic Systems</t>
  </si>
  <si>
    <t>978-1-897799-35-2</t>
  </si>
  <si>
    <t>SP093</t>
  </si>
  <si>
    <t>The Petroleum Geology of Ireland's Offshore Basin</t>
  </si>
  <si>
    <t>978-1-897799-34-5</t>
  </si>
  <si>
    <t>SP092</t>
  </si>
  <si>
    <t xml:space="preserve">Fractography: Fracture Topography as a tool in fracture mechanics and stress analysis </t>
  </si>
  <si>
    <t>978-1-897799-32-1</t>
  </si>
  <si>
    <t>SP091</t>
  </si>
  <si>
    <t>Permian and Triassic Rifting in Northwest Europe</t>
  </si>
  <si>
    <t>978-1-897799-33-8</t>
  </si>
  <si>
    <t>SP090</t>
  </si>
  <si>
    <t>The Tectonics, Sedimentation and Palaeoceanography of the North Atlantic Region</t>
  </si>
  <si>
    <t>978-1-897799-27-7</t>
  </si>
  <si>
    <t>SP089</t>
  </si>
  <si>
    <t>Non-Biostratigraphical Methods of Dating and Correlation</t>
  </si>
  <si>
    <t>978-1-897799-30-7</t>
  </si>
  <si>
    <t>SP088</t>
  </si>
  <si>
    <t>Basin Inversion</t>
  </si>
  <si>
    <t>978-1-897799-29-1</t>
  </si>
  <si>
    <t>SP087</t>
  </si>
  <si>
    <t>Hydrothermal Vents and Processes</t>
  </si>
  <si>
    <t>978-1-897799-25-3</t>
  </si>
  <si>
    <t>SP086</t>
  </si>
  <si>
    <t>The Geochemistry of Reservoirs</t>
  </si>
  <si>
    <t>978-1-897799-26-0</t>
  </si>
  <si>
    <t>SP085</t>
  </si>
  <si>
    <t>Orbital Forcing Timescales and Cyclostratigraphy</t>
  </si>
  <si>
    <t>978-1-897799-23-9</t>
  </si>
  <si>
    <t>SP084</t>
  </si>
  <si>
    <t>New Development in Improved Oil Recovery</t>
  </si>
  <si>
    <t>978-1-897799-22-2</t>
  </si>
  <si>
    <t>SP082</t>
  </si>
  <si>
    <t>European Coal Geology</t>
  </si>
  <si>
    <t>978-1-897799-19-2</t>
  </si>
  <si>
    <t>SP080</t>
  </si>
  <si>
    <t>Hydrocarbon Habitat in Rift Basins</t>
  </si>
  <si>
    <t>978-1-897799-15-4</t>
  </si>
  <si>
    <t>Marine Palaeoenvironmental Analysis from Fossils (Hardback)</t>
  </si>
  <si>
    <t>978-1-897799-21-5</t>
  </si>
  <si>
    <t>SP081</t>
  </si>
  <si>
    <t xml:space="preserve">Volcanism Associated With Extension at Consuming Plate Margins </t>
  </si>
  <si>
    <t>978-1-897799-17-8</t>
  </si>
  <si>
    <t>SP079</t>
  </si>
  <si>
    <t xml:space="preserve">Mineral Resource Evaluation II: Methods and Case Histories </t>
  </si>
  <si>
    <t>978-1-897799-06-2</t>
  </si>
  <si>
    <t>SP078</t>
  </si>
  <si>
    <t>Geofluids: Origin, Migration and Evolution of Fluids in Sedimentary Basins</t>
  </si>
  <si>
    <t>978-1-897799-05-5</t>
  </si>
  <si>
    <t>SP077</t>
  </si>
  <si>
    <t xml:space="preserve">Coal &amp; Coal-Bearing Strata as Oil-prone Source Rocks? </t>
  </si>
  <si>
    <t>978-0-903317-99-3</t>
  </si>
  <si>
    <t>SP076</t>
  </si>
  <si>
    <t>Magmatic Processes and Plate Tectonics</t>
  </si>
  <si>
    <t>978-0-903317-94-8</t>
  </si>
  <si>
    <t>SP075</t>
  </si>
  <si>
    <t xml:space="preserve">Braided Rivers </t>
  </si>
  <si>
    <t>978-0-903317-93-1</t>
  </si>
  <si>
    <t>SP074</t>
  </si>
  <si>
    <t>Himalayan Tectonics</t>
  </si>
  <si>
    <t>978-0-903317-92-4</t>
  </si>
  <si>
    <t>SP073</t>
  </si>
  <si>
    <t>Characterization of Fluvial &amp; Aeolian Reservoirs</t>
  </si>
  <si>
    <t>978-0-903317-90-0</t>
  </si>
  <si>
    <t>SP072</t>
  </si>
  <si>
    <t>Dynamics and Environmental Context of Aeolian Sedimentary Systems</t>
  </si>
  <si>
    <t>978-0-903317-88-7</t>
  </si>
  <si>
    <t>SP071</t>
  </si>
  <si>
    <t xml:space="preserve">Tectonics and Seismic Sequence Stratigraphy </t>
  </si>
  <si>
    <t>978-0-903317-87-0</t>
  </si>
  <si>
    <t>SP070</t>
  </si>
  <si>
    <t>High Resolution Stratigraphy</t>
  </si>
  <si>
    <t>978-0-903317-86-3</t>
  </si>
  <si>
    <t>SP069</t>
  </si>
  <si>
    <t xml:space="preserve">Advances In Reservoir Geology </t>
  </si>
  <si>
    <t>978-0-903317-84-9</t>
  </si>
  <si>
    <t>SP068</t>
  </si>
  <si>
    <t xml:space="preserve">Magmatism and the Causes of Continent Break-up </t>
  </si>
  <si>
    <t>978-0-903317-83-2</t>
  </si>
  <si>
    <t>SP067</t>
  </si>
  <si>
    <t>Exploration Britain</t>
  </si>
  <si>
    <t>978-0-903317-82-5</t>
  </si>
  <si>
    <t>SP066</t>
  </si>
  <si>
    <t>The Hydrogeology of Crystalline Basement Aquifers in Africa</t>
  </si>
  <si>
    <t>978-0-903317-77-1</t>
  </si>
  <si>
    <t>SP065</t>
  </si>
  <si>
    <t xml:space="preserve">Geological Applications Wireline Logs II </t>
  </si>
  <si>
    <t>978-0-903317-80-1</t>
  </si>
  <si>
    <t>SP064</t>
  </si>
  <si>
    <t xml:space="preserve">Upwelling Systems: Evolution Since the Early Miocene </t>
  </si>
  <si>
    <t>978-0-903317-78-8</t>
  </si>
  <si>
    <t>SP063</t>
  </si>
  <si>
    <t xml:space="preserve">Case Histories and Methods In Mineral Resource Evaluation  </t>
  </si>
  <si>
    <t>978-0-903317-79-5</t>
  </si>
  <si>
    <t>SP062</t>
  </si>
  <si>
    <t>Basins On The Atlantic Seaboard: Petroleum Geology, Sedimentology and Basin Evolution</t>
  </si>
  <si>
    <t>978-0-903317-76-4</t>
  </si>
  <si>
    <t>SP061</t>
  </si>
  <si>
    <t>Geology of the Brent Group</t>
  </si>
  <si>
    <t>978-0-903317-68-9</t>
  </si>
  <si>
    <t>SP060</t>
  </si>
  <si>
    <t>Ophiolites and Their Modern Oceanic Analogues</t>
  </si>
  <si>
    <t>978-0-903317-69-6</t>
  </si>
  <si>
    <t>SP049</t>
  </si>
  <si>
    <t xml:space="preserve">The Geology and Tectonics of The Oman Region </t>
  </si>
  <si>
    <t>978-0-903317-46-7</t>
  </si>
  <si>
    <t>SP059</t>
  </si>
  <si>
    <t xml:space="preserve">Petroleum Migration </t>
  </si>
  <si>
    <t>978-0-903317-66-5</t>
  </si>
  <si>
    <t>SP058</t>
  </si>
  <si>
    <t xml:space="preserve">Modern and Ancient Continental Shelf Anoxia </t>
  </si>
  <si>
    <t>978-0-903317-67-2</t>
  </si>
  <si>
    <t>SP057</t>
  </si>
  <si>
    <t xml:space="preserve">Developments in Sedimentary Provenance Studies </t>
  </si>
  <si>
    <t>978-0-903317-56-6</t>
  </si>
  <si>
    <t>SP056</t>
  </si>
  <si>
    <t>Geometry of Normal Faults</t>
  </si>
  <si>
    <t>978-0-903317-59-7</t>
  </si>
  <si>
    <t>SP055</t>
  </si>
  <si>
    <t xml:space="preserve">Tectonic Events Responsible for Britain's Oil and Gas Reserves </t>
  </si>
  <si>
    <t>978-0-903317-55-9</t>
  </si>
  <si>
    <t>SP054</t>
  </si>
  <si>
    <t xml:space="preserve">Deformation Mechanisms, Rheology and Tectonics </t>
  </si>
  <si>
    <t>978-0-903317-58-0</t>
  </si>
  <si>
    <t>SP053</t>
  </si>
  <si>
    <t>Glacimarine Environments: Processes and Sediments</t>
  </si>
  <si>
    <t>978-0-903317-54-2</t>
  </si>
  <si>
    <t>SP052</t>
  </si>
  <si>
    <t xml:space="preserve">Phosphorite Research and Development </t>
  </si>
  <si>
    <t>978-0-903317-53-5</t>
  </si>
  <si>
    <t>SP051</t>
  </si>
  <si>
    <t>The Cadomian Orogeny</t>
  </si>
  <si>
    <t>978-0-903317-47-4</t>
  </si>
  <si>
    <t>SP050</t>
  </si>
  <si>
    <t>Classic Petroleum Provinces</t>
  </si>
  <si>
    <t>978-0-903317-48-1</t>
  </si>
  <si>
    <t>SP048</t>
  </si>
  <si>
    <t>Geological Applications of Wireline Logs</t>
  </si>
  <si>
    <t>978-0-903317-45-0</t>
  </si>
  <si>
    <t>SP047</t>
  </si>
  <si>
    <t>Origins and Evolution of the Antarctic Biota</t>
  </si>
  <si>
    <t>978-0-903317-44-3</t>
  </si>
  <si>
    <t>SP046</t>
  </si>
  <si>
    <t>Phanerozoic Ironstones</t>
  </si>
  <si>
    <t>978-0-903317-43-6</t>
  </si>
  <si>
    <t>SP045</t>
  </si>
  <si>
    <t xml:space="preserve">Alpine Tectonics </t>
  </si>
  <si>
    <t>978-0-632-02508-4</t>
  </si>
  <si>
    <t>SP044</t>
  </si>
  <si>
    <t xml:space="preserve">Inversion Tectonics </t>
  </si>
  <si>
    <t>978-0-632-02502-2</t>
  </si>
  <si>
    <t>SP043</t>
  </si>
  <si>
    <t xml:space="preserve">Evolution of Metamorphic Belts </t>
  </si>
  <si>
    <t>978-0-632-02503-9</t>
  </si>
  <si>
    <t>SP042</t>
  </si>
  <si>
    <t xml:space="preserve">Magmatism in the Ocean Basins </t>
  </si>
  <si>
    <t>978-0-632-02384-4</t>
  </si>
  <si>
    <t>SP041</t>
  </si>
  <si>
    <t xml:space="preserve">Deltas: Sites and Traps Fossil Fuel </t>
  </si>
  <si>
    <t>978-0-632-02385-1</t>
  </si>
  <si>
    <t>SP040</t>
  </si>
  <si>
    <t>Lacustrine Petroleum Source Rocks</t>
  </si>
  <si>
    <t>978-0-632-01803-1</t>
  </si>
  <si>
    <t>SP039</t>
  </si>
  <si>
    <t xml:space="preserve">Early Tertiary Volcanism and the Opening of the NE Atlantic </t>
  </si>
  <si>
    <t>978-0-632-02171-0</t>
  </si>
  <si>
    <t>SP038</t>
  </si>
  <si>
    <t xml:space="preserve">The Caledonian-Appalachian Orogen </t>
  </si>
  <si>
    <t>978-0-632-01796-6</t>
  </si>
  <si>
    <t>SP037</t>
  </si>
  <si>
    <t>Gondwana and Tethys</t>
  </si>
  <si>
    <t>978-0-19-854448-7</t>
  </si>
  <si>
    <t>SP036</t>
  </si>
  <si>
    <t xml:space="preserve">Diagenesis of Sedimentary Sequences  </t>
  </si>
  <si>
    <t>978-0-632-01939-7</t>
  </si>
  <si>
    <t>SP035</t>
  </si>
  <si>
    <t xml:space="preserve">Desert Sediments: Ancient and Modern </t>
  </si>
  <si>
    <t>978-0-632-01905-2</t>
  </si>
  <si>
    <t>SP034</t>
  </si>
  <si>
    <t xml:space="preserve">Fluid Flow In Sedimentary Basins and Aquifers </t>
  </si>
  <si>
    <t>978-0-632-01804-8</t>
  </si>
  <si>
    <t>SP033</t>
  </si>
  <si>
    <t xml:space="preserve">Geochemistry and Mineralization of Proterozoic Volcanic Suites </t>
  </si>
  <si>
    <t>978-0-632-01806-2</t>
  </si>
  <si>
    <t>SP032</t>
  </si>
  <si>
    <t>Coal and Coal-bearing Strata: Recent Advances</t>
  </si>
  <si>
    <t>978-0-632-01906-9</t>
  </si>
  <si>
    <t>SP031</t>
  </si>
  <si>
    <t>Geology and Geochemistry of Abyssal Plains</t>
  </si>
  <si>
    <t>978-0-632-01744-7</t>
  </si>
  <si>
    <t>SP030</t>
  </si>
  <si>
    <t>Alkaline Igneous Rocks</t>
  </si>
  <si>
    <t>978-0-632-01616-7</t>
  </si>
  <si>
    <t>SP029</t>
  </si>
  <si>
    <t>Deformation of Sediments and Sedimentary Rocks</t>
  </si>
  <si>
    <t>978-0-632-01733-1</t>
  </si>
  <si>
    <t>SP028</t>
  </si>
  <si>
    <t>Continental Extensional Tectonics</t>
  </si>
  <si>
    <t>978-0-632-01605-1</t>
  </si>
  <si>
    <t>SP027</t>
  </si>
  <si>
    <t xml:space="preserve">Evolution of The Lewisian and Comparable Precambrian High Grade Terrains </t>
  </si>
  <si>
    <t>978-0-632-01683-9</t>
  </si>
  <si>
    <t>SP026</t>
  </si>
  <si>
    <t>Marine Petroleum Source Rocks</t>
  </si>
  <si>
    <t>978-0-632-01137-7</t>
  </si>
  <si>
    <t>SP025</t>
  </si>
  <si>
    <t>Sedimentation In The African Rifts</t>
  </si>
  <si>
    <t>978-0-632-01534-4</t>
  </si>
  <si>
    <t>SP024</t>
  </si>
  <si>
    <t>Nature of The Lower Continental Crust</t>
  </si>
  <si>
    <t>978-0-632-01561-0</t>
  </si>
  <si>
    <t>SP023</t>
  </si>
  <si>
    <t>Habitat of Palaeozoic Gas</t>
  </si>
  <si>
    <t>978-0-7073-0491-5</t>
  </si>
  <si>
    <t>SP022</t>
  </si>
  <si>
    <t>English Zechstein and Related Topics, The</t>
  </si>
  <si>
    <t>978-0-632-01067-7</t>
  </si>
  <si>
    <t>SP021</t>
  </si>
  <si>
    <t>North Atlantic Palaeoceanography</t>
  </si>
  <si>
    <t>978-0-632-01516-0</t>
  </si>
  <si>
    <t>SP020</t>
  </si>
  <si>
    <t xml:space="preserve">Palaeoecology and Biostratigraphy of Graptolites </t>
  </si>
  <si>
    <t>978-0-632-01071-4</t>
  </si>
  <si>
    <t>SP019</t>
  </si>
  <si>
    <t>Collision Tectonics</t>
  </si>
  <si>
    <t>978-0-632-01211-4</t>
  </si>
  <si>
    <t>SP018</t>
  </si>
  <si>
    <t>Sedimentology: Recent Developments and Applied Aspects (Hardback)</t>
  </si>
  <si>
    <t>978-0-632-01192-6</t>
  </si>
  <si>
    <t>SP016</t>
  </si>
  <si>
    <t>Marginal Basin Geology Volcanic and Associated Sedimentary and Tectonic Processes in Modern and Ancient Marginal Basins</t>
  </si>
  <si>
    <t>978-0-63201-073-8</t>
  </si>
  <si>
    <t>SP015</t>
  </si>
  <si>
    <t>Fine Grained Sediments: Deep Water Processes and Facies</t>
  </si>
  <si>
    <t>978-0-632-01075-2</t>
  </si>
  <si>
    <t>SP014</t>
  </si>
  <si>
    <t xml:space="preserve">Variscan Tectonics of the North Atlantic Region </t>
  </si>
  <si>
    <t>978-0-632-01203-9</t>
  </si>
  <si>
    <t>SP013</t>
  </si>
  <si>
    <t>Ophiolites and Oceanic Lithosphere</t>
  </si>
  <si>
    <t>978-0-632-01219-0</t>
  </si>
  <si>
    <t>SP012</t>
  </si>
  <si>
    <t>Petroleum Geochemistry and Exploration of Europe</t>
  </si>
  <si>
    <t>978-0-632-01076-9</t>
  </si>
  <si>
    <t>SP011</t>
  </si>
  <si>
    <t xml:space="preserve">Residual Deposits: Surface Related Weathering Processes and Materials </t>
  </si>
  <si>
    <t>978-0-632-01072-1</t>
  </si>
  <si>
    <t>SP010</t>
  </si>
  <si>
    <t xml:space="preserve">Trench And Forearc Geology </t>
  </si>
  <si>
    <t>978-0-632-00708-0</t>
  </si>
  <si>
    <t>SP009</t>
  </si>
  <si>
    <t>Thrust and Nappe Tectonics</t>
  </si>
  <si>
    <t>978-0-632-00614-4</t>
  </si>
  <si>
    <t>SP008</t>
  </si>
  <si>
    <t>The Caledonides of the British Isles Reviewed</t>
  </si>
  <si>
    <t>978-0-7073-0257-7</t>
  </si>
  <si>
    <t>SP006</t>
  </si>
  <si>
    <t>Geological Background To Fossil Man</t>
  </si>
  <si>
    <t>978-0-8020-2302-5</t>
  </si>
  <si>
    <t>SP007</t>
  </si>
  <si>
    <t>Volcanic Processes in Ore Genesis</t>
  </si>
  <si>
    <t>978-0-900488-33-7</t>
  </si>
  <si>
    <t>SP004</t>
  </si>
  <si>
    <t>Mesozoic-Cenozoic Orogenic Belts</t>
  </si>
  <si>
    <t>978-0-7073-0047-4</t>
  </si>
  <si>
    <t>SP005</t>
  </si>
  <si>
    <t>Phanerozoic Time Scale-A Supplement</t>
  </si>
  <si>
    <t>978-0-903317-00-9</t>
  </si>
  <si>
    <t>SP003</t>
  </si>
  <si>
    <t>Time and Place in Orogeny</t>
  </si>
  <si>
    <t>SP002</t>
  </si>
  <si>
    <t>The Fossil Record</t>
  </si>
  <si>
    <t>978-0-903317-08-5</t>
  </si>
  <si>
    <t>SP001</t>
  </si>
  <si>
    <t>The Phanerozoic Time-scale: A Symposium</t>
  </si>
  <si>
    <t>978-0-903317-01-6</t>
  </si>
  <si>
    <t>SP194</t>
  </si>
  <si>
    <t>SP083</t>
  </si>
  <si>
    <t>Volume no.</t>
  </si>
  <si>
    <t>SP Archive option</t>
  </si>
  <si>
    <t>SP Archive 1-300</t>
  </si>
  <si>
    <t>SP Archive 1-400</t>
  </si>
  <si>
    <t>SP Archive 1-500</t>
  </si>
  <si>
    <t>1-300</t>
  </si>
  <si>
    <t>1-400</t>
  </si>
  <si>
    <t>1-500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</si>
</sst>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Book Antiqua"/>
      <family val="1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auto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7" fillId="0" borderId="0"/>
  </cellStyleXfs>
  <cellXfs count="4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3" borderId="0" xfId="0" applyFont="1" applyFill="1"/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2" applyFont="1" applyFill="1" applyBorder="1" applyAlignment="1">
      <alignment horizontal="center" vertical="center"/>
    </xf>
    <xf numFmtId="49" fontId="3" fillId="3" borderId="1" xfId="2" applyNumberFormat="1" applyFont="1" applyFill="1" applyBorder="1" applyAlignment="1">
      <alignment horizontal="left" vertical="center"/>
    </xf>
    <xf numFmtId="49" fontId="3" fillId="3" borderId="1" xfId="2" applyNumberFormat="1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</cellXfs>
  <cellStyles count="4">
    <cellStyle name="Hyperlink" xfId="1" builtinId="8"/>
    <cellStyle name="Normal" xfId="0" builtinId="0"/>
    <cellStyle name="Normal_Sheet1" xfId="2" xr:uid="{00000000-0005-0000-0000-000002000000}"/>
    <cellStyle name="Normal_Sheet1_1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47"/>
  <sheetViews>
    <sheetView tabSelected="1" workbookViewId="0">
      <pane ySplit="1" topLeftCell="A2" activePane="bottomLeft" state="frozen"/>
      <selection activeCell="C1" sqref="C1"/>
      <selection pane="bottomLeft" activeCell="E1" sqref="E1"/>
    </sheetView>
  </sheetViews>
  <sheetFormatPr defaultColWidth="9.109375" defaultRowHeight="10.199999999999999" x14ac:dyDescent="0.2"/>
  <cols>
    <col min="1" max="1" width="11.33203125" style="10" customWidth="1"/>
    <col min="2" max="2" width="56.109375" style="14" customWidth="1"/>
    <col min="3" max="3" width="6.33203125" style="9" customWidth="1"/>
    <col min="4" max="4" width="13.88671875" style="11" bestFit="1" customWidth="1"/>
    <col min="5" max="5" width="35" style="1" bestFit="1" customWidth="1"/>
    <col min="6" max="6" width="9.109375" style="20"/>
    <col min="7" max="9" width="9.109375" style="5"/>
    <col min="10" max="16384" width="9.109375" style="8"/>
  </cols>
  <sheetData>
    <row r="1" spans="1:24" ht="31.2" customHeight="1" x14ac:dyDescent="0.2">
      <c r="A1" s="22" t="s">
        <v>1510</v>
      </c>
      <c r="B1" s="22" t="s">
        <v>0</v>
      </c>
      <c r="C1" s="23" t="s">
        <v>1</v>
      </c>
      <c r="D1" s="24" t="s">
        <v>2</v>
      </c>
      <c r="E1" s="42" t="s">
        <v>3</v>
      </c>
      <c r="F1" s="25" t="s">
        <v>1511</v>
      </c>
      <c r="G1" s="25" t="s">
        <v>1512</v>
      </c>
      <c r="H1" s="25" t="s">
        <v>1513</v>
      </c>
      <c r="I1" s="25" t="s">
        <v>1514</v>
      </c>
    </row>
    <row r="2" spans="1:24" s="12" customFormat="1" ht="31.2" customHeight="1" x14ac:dyDescent="0.2">
      <c r="A2" s="32" t="s">
        <v>21</v>
      </c>
      <c r="B2" s="28" t="s">
        <v>22</v>
      </c>
      <c r="C2" s="19">
        <v>2020</v>
      </c>
      <c r="D2" s="26" t="s">
        <v>23</v>
      </c>
      <c r="E2" s="29" t="str">
        <f>HYPERLINK("https://www.lyellcollection.org/toc/sp/500/1")</f>
        <v>https://www.lyellcollection.org/toc/sp/500/1</v>
      </c>
      <c r="F2" s="19" t="s">
        <v>8</v>
      </c>
      <c r="G2" s="26"/>
      <c r="H2" s="26"/>
      <c r="I2" s="31" t="s">
        <v>1517</v>
      </c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s="12" customFormat="1" ht="31.2" customHeight="1" x14ac:dyDescent="0.2">
      <c r="A3" s="27" t="s">
        <v>24</v>
      </c>
      <c r="B3" s="27" t="s">
        <v>25</v>
      </c>
      <c r="C3" s="19">
        <v>2020</v>
      </c>
      <c r="D3" s="26" t="s">
        <v>26</v>
      </c>
      <c r="E3" s="29" t="str">
        <f>HYPERLINK("https://www.lyellcollection.org/toc/sp/499/1")</f>
        <v>https://www.lyellcollection.org/toc/sp/499/1</v>
      </c>
      <c r="F3" s="19" t="s">
        <v>8</v>
      </c>
      <c r="G3" s="31"/>
      <c r="H3" s="31"/>
      <c r="I3" s="31" t="s">
        <v>1517</v>
      </c>
    </row>
    <row r="4" spans="1:24" s="12" customFormat="1" ht="31.2" customHeight="1" x14ac:dyDescent="0.2">
      <c r="A4" s="27" t="s">
        <v>27</v>
      </c>
      <c r="B4" s="27" t="s">
        <v>28</v>
      </c>
      <c r="C4" s="19">
        <v>2020</v>
      </c>
      <c r="D4" s="26" t="s">
        <v>29</v>
      </c>
      <c r="E4" s="29" t="str">
        <f>HYPERLINK("https://www.lyellcollection.org/toc/sp/498/1")</f>
        <v>https://www.lyellcollection.org/toc/sp/498/1</v>
      </c>
      <c r="F4" s="19" t="s">
        <v>8</v>
      </c>
      <c r="G4" s="31"/>
      <c r="H4" s="31"/>
      <c r="I4" s="31" t="s">
        <v>1517</v>
      </c>
    </row>
    <row r="5" spans="1:24" s="12" customFormat="1" ht="31.2" customHeight="1" x14ac:dyDescent="0.2">
      <c r="A5" s="27" t="s">
        <v>30</v>
      </c>
      <c r="B5" s="27" t="s">
        <v>31</v>
      </c>
      <c r="C5" s="19">
        <v>2020</v>
      </c>
      <c r="D5" s="26" t="s">
        <v>32</v>
      </c>
      <c r="E5" s="29" t="str">
        <f>HYPERLINK("https://www.lyellcollection.org/toc/sp/497/1")</f>
        <v>https://www.lyellcollection.org/toc/sp/497/1</v>
      </c>
      <c r="F5" s="19" t="s">
        <v>8</v>
      </c>
      <c r="G5" s="31"/>
      <c r="H5" s="31"/>
      <c r="I5" s="31" t="s">
        <v>1517</v>
      </c>
    </row>
    <row r="6" spans="1:24" s="12" customFormat="1" ht="31.2" customHeight="1" x14ac:dyDescent="0.2">
      <c r="A6" s="27" t="s">
        <v>33</v>
      </c>
      <c r="B6" s="28" t="s">
        <v>34</v>
      </c>
      <c r="C6" s="19">
        <v>2020</v>
      </c>
      <c r="D6" s="26" t="s">
        <v>35</v>
      </c>
      <c r="E6" s="29" t="str">
        <f>HYPERLINK("https://www.lyellcollection.org/toc/sp/496/1")</f>
        <v>https://www.lyellcollection.org/toc/sp/496/1</v>
      </c>
      <c r="F6" s="19" t="s">
        <v>8</v>
      </c>
      <c r="G6" s="31"/>
      <c r="H6" s="31"/>
      <c r="I6" s="31" t="s">
        <v>1517</v>
      </c>
    </row>
    <row r="7" spans="1:24" s="12" customFormat="1" ht="31.2" customHeight="1" x14ac:dyDescent="0.2">
      <c r="A7" s="27" t="s">
        <v>5</v>
      </c>
      <c r="B7" s="28" t="s">
        <v>6</v>
      </c>
      <c r="C7" s="7">
        <v>2022</v>
      </c>
      <c r="D7" s="17" t="s">
        <v>7</v>
      </c>
      <c r="E7" s="18" t="str">
        <f>HYPERLINK("https://www.lyellcollection.org/toc/sp/495/1")</f>
        <v>https://www.lyellcollection.org/toc/sp/495/1</v>
      </c>
      <c r="F7" s="19" t="s">
        <v>8</v>
      </c>
      <c r="G7" s="31"/>
      <c r="H7" s="31"/>
      <c r="I7" s="31" t="s">
        <v>1517</v>
      </c>
    </row>
    <row r="8" spans="1:24" s="12" customFormat="1" ht="31.2" customHeight="1" x14ac:dyDescent="0.2">
      <c r="A8" s="27" t="s">
        <v>9</v>
      </c>
      <c r="B8" s="28" t="s">
        <v>10</v>
      </c>
      <c r="C8" s="19">
        <v>2022</v>
      </c>
      <c r="D8" s="17" t="s">
        <v>11</v>
      </c>
      <c r="E8" s="18" t="str">
        <f>HYPERLINK("https://www.lyellcollection.org/toc/sp/494/1")</f>
        <v>https://www.lyellcollection.org/toc/sp/494/1</v>
      </c>
      <c r="F8" s="19" t="s">
        <v>8</v>
      </c>
      <c r="G8" s="31"/>
      <c r="H8" s="31"/>
      <c r="I8" s="31" t="s">
        <v>1517</v>
      </c>
    </row>
    <row r="9" spans="1:24" s="12" customFormat="1" ht="31.2" customHeight="1" x14ac:dyDescent="0.2">
      <c r="A9" s="27" t="s">
        <v>15</v>
      </c>
      <c r="B9" s="28" t="s">
        <v>16</v>
      </c>
      <c r="C9" s="19">
        <v>2021</v>
      </c>
      <c r="D9" s="17" t="s">
        <v>17</v>
      </c>
      <c r="E9" s="29" t="str">
        <f>HYPERLINK("https://www.lyellcollection.org/toc/sp/493/1")</f>
        <v>https://www.lyellcollection.org/toc/sp/493/1</v>
      </c>
      <c r="F9" s="19" t="s">
        <v>8</v>
      </c>
      <c r="G9" s="31"/>
      <c r="H9" s="31"/>
      <c r="I9" s="31" t="s">
        <v>1517</v>
      </c>
    </row>
    <row r="10" spans="1:24" s="12" customFormat="1" ht="31.2" customHeight="1" x14ac:dyDescent="0.2">
      <c r="A10" s="27" t="s">
        <v>18</v>
      </c>
      <c r="B10" s="27" t="s">
        <v>19</v>
      </c>
      <c r="C10" s="19">
        <v>2021</v>
      </c>
      <c r="D10" s="17" t="s">
        <v>20</v>
      </c>
      <c r="E10" s="29" t="str">
        <f>HYPERLINK("https://www.lyellcollection.org/toc/sp/492/1")</f>
        <v>https://www.lyellcollection.org/toc/sp/492/1</v>
      </c>
      <c r="F10" s="19" t="s">
        <v>8</v>
      </c>
      <c r="G10" s="31"/>
      <c r="H10" s="31"/>
      <c r="I10" s="31" t="s">
        <v>1517</v>
      </c>
    </row>
    <row r="11" spans="1:24" s="12" customFormat="1" ht="31.2" customHeight="1" x14ac:dyDescent="0.2">
      <c r="A11" s="27" t="s">
        <v>36</v>
      </c>
      <c r="B11" s="28" t="s">
        <v>37</v>
      </c>
      <c r="C11" s="19">
        <v>2020</v>
      </c>
      <c r="D11" s="26" t="s">
        <v>38</v>
      </c>
      <c r="E11" s="29" t="str">
        <f>HYPERLINK("https://www.lyellcollection.org/toc/sp/491/1")</f>
        <v>https://www.lyellcollection.org/toc/sp/491/1</v>
      </c>
      <c r="F11" s="19" t="s">
        <v>8</v>
      </c>
      <c r="G11" s="31"/>
      <c r="H11" s="31"/>
      <c r="I11" s="31" t="s">
        <v>1517</v>
      </c>
    </row>
    <row r="12" spans="1:24" s="12" customFormat="1" ht="31.2" customHeight="1" x14ac:dyDescent="0.2">
      <c r="A12" s="27" t="s">
        <v>39</v>
      </c>
      <c r="B12" s="28" t="s">
        <v>40</v>
      </c>
      <c r="C12" s="19">
        <v>2020</v>
      </c>
      <c r="D12" s="26" t="s">
        <v>41</v>
      </c>
      <c r="E12" s="29" t="str">
        <f>HYPERLINK("https://www.lyellcollection.org/toc/sp/490/1")</f>
        <v>https://www.lyellcollection.org/toc/sp/490/1</v>
      </c>
      <c r="F12" s="19" t="s">
        <v>8</v>
      </c>
      <c r="G12" s="31"/>
      <c r="H12" s="31"/>
      <c r="I12" s="31" t="s">
        <v>1517</v>
      </c>
    </row>
    <row r="13" spans="1:24" s="12" customFormat="1" ht="31.2" customHeight="1" x14ac:dyDescent="0.2">
      <c r="A13" s="27" t="s">
        <v>42</v>
      </c>
      <c r="B13" s="28" t="s">
        <v>43</v>
      </c>
      <c r="C13" s="19">
        <v>2020</v>
      </c>
      <c r="D13" s="26" t="s">
        <v>44</v>
      </c>
      <c r="E13" s="29" t="str">
        <f>HYPERLINK("https://www.lyellcollection.org/toc/sp/489/1")</f>
        <v>https://www.lyellcollection.org/toc/sp/489/1</v>
      </c>
      <c r="F13" s="19" t="s">
        <v>8</v>
      </c>
      <c r="G13" s="31"/>
      <c r="H13" s="31"/>
      <c r="I13" s="31" t="s">
        <v>1517</v>
      </c>
    </row>
    <row r="14" spans="1:24" s="12" customFormat="1" ht="31.2" customHeight="1" x14ac:dyDescent="0.2">
      <c r="A14" s="27" t="s">
        <v>57</v>
      </c>
      <c r="B14" s="28" t="s">
        <v>58</v>
      </c>
      <c r="C14" s="19">
        <v>2019</v>
      </c>
      <c r="D14" s="26" t="s">
        <v>59</v>
      </c>
      <c r="E14" s="29" t="str">
        <f>HYPERLINK("https://www.lyellcollection.org/toc/sp/488/1")</f>
        <v>https://www.lyellcollection.org/toc/sp/488/1</v>
      </c>
      <c r="F14" s="19" t="s">
        <v>8</v>
      </c>
      <c r="G14" s="31"/>
      <c r="H14" s="31"/>
      <c r="I14" s="31" t="s">
        <v>1517</v>
      </c>
    </row>
    <row r="15" spans="1:24" s="12" customFormat="1" ht="31.2" customHeight="1" x14ac:dyDescent="0.2">
      <c r="A15" s="27" t="s">
        <v>45</v>
      </c>
      <c r="B15" s="27" t="s">
        <v>46</v>
      </c>
      <c r="C15" s="19">
        <v>2020</v>
      </c>
      <c r="D15" s="26" t="s">
        <v>47</v>
      </c>
      <c r="E15" s="29" t="str">
        <f>HYPERLINK("https://www.lyellcollection.org/toc/sp/487/1")</f>
        <v>https://www.lyellcollection.org/toc/sp/487/1</v>
      </c>
      <c r="F15" s="19" t="s">
        <v>8</v>
      </c>
      <c r="G15" s="31"/>
      <c r="H15" s="31"/>
      <c r="I15" s="31" t="s">
        <v>1517</v>
      </c>
    </row>
    <row r="16" spans="1:24" s="12" customFormat="1" ht="31.2" customHeight="1" x14ac:dyDescent="0.2">
      <c r="A16" s="27" t="s">
        <v>48</v>
      </c>
      <c r="B16" s="28" t="s">
        <v>49</v>
      </c>
      <c r="C16" s="19">
        <v>2020</v>
      </c>
      <c r="D16" s="26" t="s">
        <v>50</v>
      </c>
      <c r="E16" s="29" t="str">
        <f>HYPERLINK("https://www.lyellcollection.org/toc/sp/486/1")</f>
        <v>https://www.lyellcollection.org/toc/sp/486/1</v>
      </c>
      <c r="F16" s="19" t="s">
        <v>8</v>
      </c>
      <c r="G16" s="31"/>
      <c r="H16" s="31"/>
      <c r="I16" s="31" t="s">
        <v>1517</v>
      </c>
    </row>
    <row r="17" spans="1:24" s="12" customFormat="1" ht="31.2" customHeight="1" x14ac:dyDescent="0.2">
      <c r="A17" s="27" t="s">
        <v>12</v>
      </c>
      <c r="B17" s="28" t="s">
        <v>13</v>
      </c>
      <c r="C17" s="7">
        <v>2022</v>
      </c>
      <c r="D17" s="17" t="s">
        <v>14</v>
      </c>
      <c r="E17" s="29" t="str">
        <f>HYPERLINK("https://www.lyellcollection.org/toc/sp/485/1")</f>
        <v>https://www.lyellcollection.org/toc/sp/485/1</v>
      </c>
      <c r="F17" s="19" t="s">
        <v>8</v>
      </c>
      <c r="G17" s="31"/>
      <c r="H17" s="31"/>
      <c r="I17" s="31" t="s">
        <v>1517</v>
      </c>
    </row>
    <row r="18" spans="1:24" s="12" customFormat="1" ht="31.2" customHeight="1" x14ac:dyDescent="0.2">
      <c r="A18" s="27" t="s">
        <v>51</v>
      </c>
      <c r="B18" s="28" t="s">
        <v>52</v>
      </c>
      <c r="C18" s="19">
        <v>2020</v>
      </c>
      <c r="D18" s="26" t="s">
        <v>53</v>
      </c>
      <c r="E18" s="29" t="str">
        <f>HYPERLINK("https://www.lyellcollection.org/toc/sp/484/1")</f>
        <v>https://www.lyellcollection.org/toc/sp/484/1</v>
      </c>
      <c r="F18" s="19" t="s">
        <v>8</v>
      </c>
      <c r="G18" s="31"/>
      <c r="H18" s="31"/>
      <c r="I18" s="31" t="s">
        <v>1517</v>
      </c>
    </row>
    <row r="19" spans="1:24" s="12" customFormat="1" ht="31.2" customHeight="1" x14ac:dyDescent="0.2">
      <c r="A19" s="27" t="s">
        <v>60</v>
      </c>
      <c r="B19" s="28" t="s">
        <v>61</v>
      </c>
      <c r="C19" s="19">
        <v>2019</v>
      </c>
      <c r="D19" s="26" t="s">
        <v>62</v>
      </c>
      <c r="E19" s="29" t="str">
        <f>HYPERLINK("https://www.lyellcollection.org/toc/sp/483/1")</f>
        <v>https://www.lyellcollection.org/toc/sp/483/1</v>
      </c>
      <c r="F19" s="19" t="s">
        <v>8</v>
      </c>
      <c r="G19" s="31"/>
      <c r="H19" s="31"/>
      <c r="I19" s="31" t="s">
        <v>1517</v>
      </c>
    </row>
    <row r="20" spans="1:24" s="12" customFormat="1" ht="31.2" customHeight="1" x14ac:dyDescent="0.2">
      <c r="A20" s="27" t="s">
        <v>63</v>
      </c>
      <c r="B20" s="27" t="s">
        <v>64</v>
      </c>
      <c r="C20" s="19">
        <v>2019</v>
      </c>
      <c r="D20" s="26" t="s">
        <v>65</v>
      </c>
      <c r="E20" s="29" t="str">
        <f>HYPERLINK("https://www.lyellcollection.org/toc/sp/482/1")</f>
        <v>https://www.lyellcollection.org/toc/sp/482/1</v>
      </c>
      <c r="F20" s="19" t="s">
        <v>8</v>
      </c>
      <c r="G20" s="31"/>
      <c r="H20" s="31"/>
      <c r="I20" s="31" t="s">
        <v>1517</v>
      </c>
    </row>
    <row r="21" spans="1:24" s="12" customFormat="1" ht="31.2" customHeight="1" x14ac:dyDescent="0.2">
      <c r="A21" s="27" t="s">
        <v>66</v>
      </c>
      <c r="B21" s="27" t="s">
        <v>67</v>
      </c>
      <c r="C21" s="19">
        <v>2019</v>
      </c>
      <c r="D21" s="26" t="s">
        <v>68</v>
      </c>
      <c r="E21" s="29" t="str">
        <f>HYPERLINK("https://www.lyellcollection.org/toc/sp/481/1")</f>
        <v>https://www.lyellcollection.org/toc/sp/481/1</v>
      </c>
      <c r="F21" s="19" t="s">
        <v>8</v>
      </c>
      <c r="G21" s="31"/>
      <c r="H21" s="31"/>
      <c r="I21" s="31" t="s">
        <v>1517</v>
      </c>
    </row>
    <row r="22" spans="1:24" s="12" customFormat="1" ht="31.2" customHeight="1" x14ac:dyDescent="0.2">
      <c r="A22" s="27" t="s">
        <v>69</v>
      </c>
      <c r="B22" s="27" t="s">
        <v>70</v>
      </c>
      <c r="C22" s="19">
        <v>2019</v>
      </c>
      <c r="D22" s="26" t="s">
        <v>71</v>
      </c>
      <c r="E22" s="29" t="str">
        <f>HYPERLINK("https://www.lyellcollection.org/toc/sp/480/1")</f>
        <v>https://www.lyellcollection.org/toc/sp/480/1</v>
      </c>
      <c r="F22" s="19" t="s">
        <v>8</v>
      </c>
      <c r="G22" s="31"/>
      <c r="H22" s="31"/>
      <c r="I22" s="31" t="s">
        <v>1517</v>
      </c>
    </row>
    <row r="23" spans="1:24" s="12" customFormat="1" ht="31.2" customHeight="1" x14ac:dyDescent="0.2">
      <c r="A23" s="27" t="s">
        <v>72</v>
      </c>
      <c r="B23" s="27" t="s">
        <v>73</v>
      </c>
      <c r="C23" s="19">
        <v>2019</v>
      </c>
      <c r="D23" s="26" t="s">
        <v>74</v>
      </c>
      <c r="E23" s="29" t="str">
        <f>HYPERLINK("https://www.lyellcollection.org/toc/sp/479/1")</f>
        <v>https://www.lyellcollection.org/toc/sp/479/1</v>
      </c>
      <c r="F23" s="19" t="s">
        <v>8</v>
      </c>
      <c r="G23" s="31"/>
      <c r="H23" s="31"/>
      <c r="I23" s="31" t="s">
        <v>1517</v>
      </c>
    </row>
    <row r="24" spans="1:24" s="12" customFormat="1" ht="31.2" customHeight="1" x14ac:dyDescent="0.2">
      <c r="A24" s="27" t="s">
        <v>75</v>
      </c>
      <c r="B24" s="27" t="s">
        <v>76</v>
      </c>
      <c r="C24" s="19">
        <v>2019</v>
      </c>
      <c r="D24" s="26" t="s">
        <v>77</v>
      </c>
      <c r="E24" s="29" t="str">
        <f>HYPERLINK("https://www.lyellcollection.org/toc/sp/478/1")</f>
        <v>https://www.lyellcollection.org/toc/sp/478/1</v>
      </c>
      <c r="F24" s="19" t="s">
        <v>8</v>
      </c>
      <c r="G24" s="31"/>
      <c r="H24" s="31"/>
      <c r="I24" s="31" t="s">
        <v>1517</v>
      </c>
    </row>
    <row r="25" spans="1:24" s="12" customFormat="1" ht="31.2" customHeight="1" x14ac:dyDescent="0.2">
      <c r="A25" s="27" t="s">
        <v>78</v>
      </c>
      <c r="B25" s="28" t="s">
        <v>79</v>
      </c>
      <c r="C25" s="19">
        <v>2019</v>
      </c>
      <c r="D25" s="26" t="s">
        <v>80</v>
      </c>
      <c r="E25" s="29" t="str">
        <f>HYPERLINK("https://www.lyellcollection.org/toc/sp/477/1")</f>
        <v>https://www.lyellcollection.org/toc/sp/477/1</v>
      </c>
      <c r="F25" s="19" t="s">
        <v>8</v>
      </c>
      <c r="G25" s="31"/>
      <c r="H25" s="31"/>
      <c r="I25" s="31" t="s">
        <v>1517</v>
      </c>
    </row>
    <row r="26" spans="1:24" s="12" customFormat="1" ht="31.2" customHeight="1" x14ac:dyDescent="0.2">
      <c r="A26" s="27" t="s">
        <v>54</v>
      </c>
      <c r="B26" s="28" t="s">
        <v>55</v>
      </c>
      <c r="C26" s="19">
        <v>2020</v>
      </c>
      <c r="D26" s="26" t="s">
        <v>56</v>
      </c>
      <c r="E26" s="29" t="str">
        <f>HYPERLINK("https://www.lyellcollection.org/toc/sp/476/1")</f>
        <v>https://www.lyellcollection.org/toc/sp/476/1</v>
      </c>
      <c r="F26" s="19" t="s">
        <v>8</v>
      </c>
      <c r="G26" s="31"/>
      <c r="H26" s="31"/>
      <c r="I26" s="31" t="s">
        <v>1517</v>
      </c>
    </row>
    <row r="27" spans="1:24" s="12" customFormat="1" ht="31.2" customHeight="1" x14ac:dyDescent="0.2">
      <c r="A27" s="27" t="s">
        <v>81</v>
      </c>
      <c r="B27" s="27" t="s">
        <v>82</v>
      </c>
      <c r="C27" s="7">
        <v>2019</v>
      </c>
      <c r="D27" s="26" t="s">
        <v>83</v>
      </c>
      <c r="E27" s="29" t="str">
        <f>HYPERLINK("https://www.lyellcollection.org/toc/sp/475/1")</f>
        <v>https://www.lyellcollection.org/toc/sp/475/1</v>
      </c>
      <c r="F27" s="19" t="s">
        <v>8</v>
      </c>
      <c r="G27" s="31"/>
      <c r="H27" s="31"/>
      <c r="I27" s="31" t="s">
        <v>1517</v>
      </c>
    </row>
    <row r="28" spans="1:24" s="12" customFormat="1" ht="31.2" customHeight="1" x14ac:dyDescent="0.2">
      <c r="A28" s="27" t="s">
        <v>84</v>
      </c>
      <c r="B28" s="28" t="s">
        <v>85</v>
      </c>
      <c r="C28" s="19">
        <v>2019</v>
      </c>
      <c r="D28" s="26" t="s">
        <v>86</v>
      </c>
      <c r="E28" s="29" t="str">
        <f>HYPERLINK("https://www.lyellcollection.org/toc/sp/474/1")</f>
        <v>https://www.lyellcollection.org/toc/sp/474/1</v>
      </c>
      <c r="F28" s="19" t="s">
        <v>8</v>
      </c>
      <c r="G28" s="31"/>
      <c r="H28" s="31"/>
      <c r="I28" s="31" t="s">
        <v>1517</v>
      </c>
    </row>
    <row r="29" spans="1:24" s="12" customFormat="1" ht="31.2" customHeight="1" x14ac:dyDescent="0.2">
      <c r="A29" s="27" t="s">
        <v>87</v>
      </c>
      <c r="B29" s="28" t="s">
        <v>88</v>
      </c>
      <c r="C29" s="19">
        <v>2019</v>
      </c>
      <c r="D29" s="26" t="s">
        <v>89</v>
      </c>
      <c r="E29" s="29" t="str">
        <f>HYPERLINK("https://www.lyellcollection.org/toc/sp/473/1")</f>
        <v>https://www.lyellcollection.org/toc/sp/473/1</v>
      </c>
      <c r="F29" s="19" t="s">
        <v>8</v>
      </c>
      <c r="G29" s="31"/>
      <c r="H29" s="31"/>
      <c r="I29" s="31" t="s">
        <v>1517</v>
      </c>
    </row>
    <row r="30" spans="1:24" s="12" customFormat="1" ht="31.2" customHeight="1" x14ac:dyDescent="0.2">
      <c r="A30" s="27" t="s">
        <v>99</v>
      </c>
      <c r="B30" s="28" t="s">
        <v>100</v>
      </c>
      <c r="C30" s="19">
        <v>2018</v>
      </c>
      <c r="D30" s="26" t="s">
        <v>101</v>
      </c>
      <c r="E30" s="29" t="str">
        <f>HYPERLINK("https://www.lyellcollection.org/toc/sp/472/1")</f>
        <v>https://www.lyellcollection.org/toc/sp/472/1</v>
      </c>
      <c r="F30" s="19" t="s">
        <v>8</v>
      </c>
      <c r="G30" s="31"/>
      <c r="H30" s="31"/>
      <c r="I30" s="31" t="s">
        <v>1517</v>
      </c>
    </row>
    <row r="31" spans="1:24" s="12" customFormat="1" ht="31.2" customHeight="1" x14ac:dyDescent="0.2">
      <c r="A31" s="27" t="s">
        <v>90</v>
      </c>
      <c r="B31" s="28" t="s">
        <v>91</v>
      </c>
      <c r="C31" s="19">
        <v>2019</v>
      </c>
      <c r="D31" s="26" t="s">
        <v>92</v>
      </c>
      <c r="E31" s="29" t="str">
        <f>HYPERLINK("https://www.lyellcollection.org/toc/sp/471/1")</f>
        <v>https://www.lyellcollection.org/toc/sp/471/1</v>
      </c>
      <c r="F31" s="19" t="s">
        <v>8</v>
      </c>
      <c r="G31" s="31"/>
      <c r="H31" s="31"/>
      <c r="I31" s="31" t="s">
        <v>1517</v>
      </c>
    </row>
    <row r="32" spans="1:24" s="12" customFormat="1" ht="31.2" customHeight="1" x14ac:dyDescent="0.2">
      <c r="A32" s="32" t="s">
        <v>93</v>
      </c>
      <c r="B32" s="28" t="s">
        <v>94</v>
      </c>
      <c r="C32" s="19">
        <v>2019</v>
      </c>
      <c r="D32" s="7" t="s">
        <v>95</v>
      </c>
      <c r="E32" s="29" t="str">
        <f>HYPERLINK("https://www.lyellcollection.org/toc/sp/470/1")</f>
        <v>https://www.lyellcollection.org/toc/sp/470/1</v>
      </c>
      <c r="F32" s="19" t="s">
        <v>8</v>
      </c>
      <c r="G32" s="26"/>
      <c r="H32" s="26"/>
      <c r="I32" s="31" t="s">
        <v>1517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s="12" customFormat="1" ht="31.2" customHeight="1" x14ac:dyDescent="0.2">
      <c r="A33" s="32" t="s">
        <v>102</v>
      </c>
      <c r="B33" s="28" t="s">
        <v>103</v>
      </c>
      <c r="C33" s="19">
        <v>2018</v>
      </c>
      <c r="D33" s="7" t="s">
        <v>104</v>
      </c>
      <c r="E33" s="29" t="str">
        <f>HYPERLINK("https://www.lyellcollection.org/toc/sp/469/1")</f>
        <v>https://www.lyellcollection.org/toc/sp/469/1</v>
      </c>
      <c r="F33" s="19" t="s">
        <v>8</v>
      </c>
      <c r="G33" s="31"/>
      <c r="H33" s="31"/>
      <c r="I33" s="31" t="s">
        <v>1517</v>
      </c>
    </row>
    <row r="34" spans="1:24" s="12" customFormat="1" ht="31.2" customHeight="1" x14ac:dyDescent="0.2">
      <c r="A34" s="32" t="s">
        <v>105</v>
      </c>
      <c r="B34" s="28" t="s">
        <v>106</v>
      </c>
      <c r="C34" s="7">
        <v>2018</v>
      </c>
      <c r="D34" s="7" t="s">
        <v>107</v>
      </c>
      <c r="E34" s="29" t="str">
        <f>HYPERLINK("https://www.lyellcollection.org/toc/sp/468/1")</f>
        <v>https://www.lyellcollection.org/toc/sp/468/1</v>
      </c>
      <c r="F34" s="19" t="s">
        <v>8</v>
      </c>
      <c r="G34" s="31"/>
      <c r="H34" s="31"/>
      <c r="I34" s="31" t="s">
        <v>1517</v>
      </c>
    </row>
    <row r="35" spans="1:24" s="12" customFormat="1" ht="31.2" customHeight="1" x14ac:dyDescent="0.2">
      <c r="A35" s="32" t="s">
        <v>96</v>
      </c>
      <c r="B35" s="28" t="s">
        <v>97</v>
      </c>
      <c r="C35" s="19">
        <v>2019</v>
      </c>
      <c r="D35" s="26" t="s">
        <v>98</v>
      </c>
      <c r="E35" s="29" t="str">
        <f>HYPERLINK("https://www.lyellcollection.org/toc/sp/467/1")</f>
        <v>https://www.lyellcollection.org/toc/sp/467/1</v>
      </c>
      <c r="F35" s="19" t="s">
        <v>8</v>
      </c>
      <c r="G35" s="31"/>
      <c r="H35" s="31"/>
      <c r="I35" s="31" t="s">
        <v>1517</v>
      </c>
    </row>
    <row r="36" spans="1:24" s="12" customFormat="1" ht="31.2" customHeight="1" x14ac:dyDescent="0.2">
      <c r="A36" s="32" t="s">
        <v>108</v>
      </c>
      <c r="B36" s="28" t="s">
        <v>109</v>
      </c>
      <c r="C36" s="19">
        <v>2018</v>
      </c>
      <c r="D36" s="26" t="s">
        <v>110</v>
      </c>
      <c r="E36" s="29" t="str">
        <f>HYPERLINK("https://www.lyellcollection.org/toc/sp/466/1")</f>
        <v>https://www.lyellcollection.org/toc/sp/466/1</v>
      </c>
      <c r="F36" s="19" t="s">
        <v>8</v>
      </c>
      <c r="G36" s="31"/>
      <c r="H36" s="31"/>
      <c r="I36" s="31" t="s">
        <v>1517</v>
      </c>
    </row>
    <row r="37" spans="1:24" s="12" customFormat="1" ht="31.2" customHeight="1" x14ac:dyDescent="0.2">
      <c r="A37" s="32" t="s">
        <v>111</v>
      </c>
      <c r="B37" s="28" t="s">
        <v>112</v>
      </c>
      <c r="C37" s="19">
        <v>2018</v>
      </c>
      <c r="D37" s="7" t="s">
        <v>113</v>
      </c>
      <c r="E37" s="29" t="str">
        <f>HYPERLINK("https://www.lyellcollection.org/toc/sp/465/1")</f>
        <v>https://www.lyellcollection.org/toc/sp/465/1</v>
      </c>
      <c r="F37" s="19" t="s">
        <v>8</v>
      </c>
      <c r="G37" s="31"/>
      <c r="H37" s="31"/>
      <c r="I37" s="31" t="s">
        <v>1517</v>
      </c>
    </row>
    <row r="38" spans="1:24" s="12" customFormat="1" ht="31.2" customHeight="1" x14ac:dyDescent="0.2">
      <c r="A38" s="27" t="s">
        <v>114</v>
      </c>
      <c r="B38" s="35" t="s">
        <v>115</v>
      </c>
      <c r="C38" s="7">
        <v>2018</v>
      </c>
      <c r="D38" s="26" t="s">
        <v>116</v>
      </c>
      <c r="E38" s="29" t="str">
        <f>HYPERLINK("https://www.lyellcollection.org/toc/sp/464/1")</f>
        <v>https://www.lyellcollection.org/toc/sp/464/1</v>
      </c>
      <c r="F38" s="19" t="s">
        <v>8</v>
      </c>
      <c r="G38" s="31"/>
      <c r="H38" s="31"/>
      <c r="I38" s="31" t="s">
        <v>1517</v>
      </c>
    </row>
    <row r="39" spans="1:24" s="12" customFormat="1" ht="31.2" customHeight="1" x14ac:dyDescent="0.2">
      <c r="A39" s="27" t="s">
        <v>117</v>
      </c>
      <c r="B39" s="27" t="s">
        <v>118</v>
      </c>
      <c r="C39" s="7">
        <v>2018</v>
      </c>
      <c r="D39" s="26" t="s">
        <v>119</v>
      </c>
      <c r="E39" s="29" t="str">
        <f>HYPERLINK("https://www.lyellcollection.org/toc/sp/463/1")</f>
        <v>https://www.lyellcollection.org/toc/sp/463/1</v>
      </c>
      <c r="F39" s="19" t="s">
        <v>8</v>
      </c>
      <c r="G39" s="31"/>
      <c r="H39" s="31"/>
      <c r="I39" s="31" t="s">
        <v>1517</v>
      </c>
    </row>
    <row r="40" spans="1:24" s="12" customFormat="1" ht="31.2" customHeight="1" x14ac:dyDescent="0.2">
      <c r="A40" s="27" t="s">
        <v>120</v>
      </c>
      <c r="B40" s="27" t="s">
        <v>121</v>
      </c>
      <c r="C40" s="7">
        <v>2018</v>
      </c>
      <c r="D40" s="26" t="s">
        <v>122</v>
      </c>
      <c r="E40" s="29" t="str">
        <f>HYPERLINK("https://www.lyellcollection.org/toc/sp/462/1")</f>
        <v>https://www.lyellcollection.org/toc/sp/462/1</v>
      </c>
      <c r="F40" s="19" t="s">
        <v>8</v>
      </c>
      <c r="G40" s="31"/>
      <c r="H40" s="31"/>
      <c r="I40" s="31" t="s">
        <v>1517</v>
      </c>
    </row>
    <row r="41" spans="1:24" s="12" customFormat="1" ht="31.2" customHeight="1" x14ac:dyDescent="0.2">
      <c r="A41" s="27" t="s">
        <v>123</v>
      </c>
      <c r="B41" s="35" t="s">
        <v>124</v>
      </c>
      <c r="C41" s="7">
        <v>2018</v>
      </c>
      <c r="D41" s="26" t="s">
        <v>125</v>
      </c>
      <c r="E41" s="29" t="str">
        <f>HYPERLINK("https://www.lyellcollection.org/toc/sp/461/1")</f>
        <v>https://www.lyellcollection.org/toc/sp/461/1</v>
      </c>
      <c r="F41" s="19" t="s">
        <v>8</v>
      </c>
      <c r="G41" s="31"/>
      <c r="H41" s="31"/>
      <c r="I41" s="31" t="s">
        <v>1517</v>
      </c>
    </row>
    <row r="42" spans="1:24" s="12" customFormat="1" ht="31.2" customHeight="1" x14ac:dyDescent="0.2">
      <c r="A42" s="27" t="s">
        <v>126</v>
      </c>
      <c r="B42" s="27" t="s">
        <v>127</v>
      </c>
      <c r="C42" s="7">
        <v>2018</v>
      </c>
      <c r="D42" s="26" t="s">
        <v>128</v>
      </c>
      <c r="E42" s="29" t="str">
        <f>HYPERLINK("https://www.lyellcollection.org/toc/sp/460/1")</f>
        <v>https://www.lyellcollection.org/toc/sp/460/1</v>
      </c>
      <c r="F42" s="19" t="s">
        <v>8</v>
      </c>
      <c r="G42" s="31"/>
      <c r="H42" s="31"/>
      <c r="I42" s="31" t="s">
        <v>1517</v>
      </c>
    </row>
    <row r="43" spans="1:24" s="12" customFormat="1" ht="31.2" customHeight="1" x14ac:dyDescent="0.2">
      <c r="A43" s="27" t="s">
        <v>129</v>
      </c>
      <c r="B43" s="27" t="s">
        <v>130</v>
      </c>
      <c r="C43" s="7">
        <v>2018</v>
      </c>
      <c r="D43" s="26" t="s">
        <v>131</v>
      </c>
      <c r="E43" s="29" t="str">
        <f>HYPERLINK("https://www.lyellcollection.org/toc/sp/459/1")</f>
        <v>https://www.lyellcollection.org/toc/sp/459/1</v>
      </c>
      <c r="F43" s="19" t="s">
        <v>8</v>
      </c>
      <c r="G43" s="31"/>
      <c r="H43" s="31"/>
      <c r="I43" s="31" t="s">
        <v>1517</v>
      </c>
    </row>
    <row r="44" spans="1:24" s="12" customFormat="1" ht="31.2" customHeight="1" x14ac:dyDescent="0.2">
      <c r="A44" s="27" t="s">
        <v>154</v>
      </c>
      <c r="B44" s="27" t="s">
        <v>155</v>
      </c>
      <c r="C44" s="7">
        <v>2017</v>
      </c>
      <c r="D44" s="26" t="s">
        <v>156</v>
      </c>
      <c r="E44" s="29" t="str">
        <f>HYPERLINK("https://www.lyellcollection.org/toc/sp/458/1")</f>
        <v>https://www.lyellcollection.org/toc/sp/458/1</v>
      </c>
      <c r="F44" s="19" t="s">
        <v>8</v>
      </c>
      <c r="G44" s="31"/>
      <c r="H44" s="31"/>
      <c r="I44" s="31" t="s">
        <v>1517</v>
      </c>
    </row>
    <row r="45" spans="1:24" s="12" customFormat="1" ht="31.2" customHeight="1" x14ac:dyDescent="0.2">
      <c r="A45" s="27" t="s">
        <v>157</v>
      </c>
      <c r="B45" s="27" t="s">
        <v>158</v>
      </c>
      <c r="C45" s="7">
        <v>2017</v>
      </c>
      <c r="D45" s="26" t="s">
        <v>159</v>
      </c>
      <c r="E45" s="29" t="str">
        <f>HYPERLINK("https://www.lyellcollection.org/toc/sp/457/1")</f>
        <v>https://www.lyellcollection.org/toc/sp/457/1</v>
      </c>
      <c r="F45" s="19" t="s">
        <v>8</v>
      </c>
      <c r="G45" s="31"/>
      <c r="H45" s="31"/>
      <c r="I45" s="31" t="s">
        <v>1517</v>
      </c>
      <c r="W45" s="34"/>
      <c r="X45" s="34"/>
    </row>
    <row r="46" spans="1:24" s="12" customFormat="1" ht="31.2" customHeight="1" x14ac:dyDescent="0.2">
      <c r="A46" s="27" t="s">
        <v>132</v>
      </c>
      <c r="B46" s="35" t="s">
        <v>133</v>
      </c>
      <c r="C46" s="7">
        <v>2018</v>
      </c>
      <c r="D46" s="26" t="s">
        <v>134</v>
      </c>
      <c r="E46" s="29" t="str">
        <f>HYPERLINK("https://www.lyellcollection.org/toc/sp/456/1")</f>
        <v>https://www.lyellcollection.org/toc/sp/456/1</v>
      </c>
      <c r="F46" s="19" t="s">
        <v>8</v>
      </c>
      <c r="G46" s="31"/>
      <c r="H46" s="31"/>
      <c r="I46" s="31" t="s">
        <v>1517</v>
      </c>
    </row>
    <row r="47" spans="1:24" s="12" customFormat="1" ht="31.2" customHeight="1" x14ac:dyDescent="0.2">
      <c r="A47" s="27" t="s">
        <v>135</v>
      </c>
      <c r="B47" s="35" t="s">
        <v>136</v>
      </c>
      <c r="C47" s="7">
        <v>2018</v>
      </c>
      <c r="D47" s="26" t="s">
        <v>137</v>
      </c>
      <c r="E47" s="29" t="str">
        <f>HYPERLINK("https://www.lyellcollection.org/toc/sp/455/1")</f>
        <v>https://www.lyellcollection.org/toc/sp/455/1</v>
      </c>
      <c r="F47" s="19" t="s">
        <v>8</v>
      </c>
      <c r="G47" s="31"/>
      <c r="H47" s="31"/>
      <c r="I47" s="31" t="s">
        <v>1517</v>
      </c>
    </row>
    <row r="48" spans="1:24" s="12" customFormat="1" ht="31.2" customHeight="1" x14ac:dyDescent="0.2">
      <c r="A48" s="27" t="s">
        <v>160</v>
      </c>
      <c r="B48" s="35" t="s">
        <v>161</v>
      </c>
      <c r="C48" s="7">
        <v>2017</v>
      </c>
      <c r="D48" s="26" t="s">
        <v>162</v>
      </c>
      <c r="E48" s="29" t="str">
        <f>HYPERLINK("https://www.lyellcollection.org/toc/sp/454/1")</f>
        <v>https://www.lyellcollection.org/toc/sp/454/1</v>
      </c>
      <c r="F48" s="19" t="s">
        <v>8</v>
      </c>
      <c r="G48" s="31"/>
      <c r="H48" s="31"/>
      <c r="I48" s="31" t="s">
        <v>1517</v>
      </c>
    </row>
    <row r="49" spans="1:24" s="12" customFormat="1" ht="31.2" customHeight="1" x14ac:dyDescent="0.2">
      <c r="A49" s="27" t="s">
        <v>138</v>
      </c>
      <c r="B49" s="35" t="s">
        <v>139</v>
      </c>
      <c r="C49" s="7">
        <v>2018</v>
      </c>
      <c r="D49" s="26" t="s">
        <v>140</v>
      </c>
      <c r="E49" s="29" t="str">
        <f>HYPERLINK("https://www.lyellcollection.org/toc/sp/453/1")</f>
        <v>https://www.lyellcollection.org/toc/sp/453/1</v>
      </c>
      <c r="F49" s="19" t="s">
        <v>8</v>
      </c>
      <c r="G49" s="31"/>
      <c r="H49" s="31"/>
      <c r="I49" s="31" t="s">
        <v>1517</v>
      </c>
    </row>
    <row r="50" spans="1:24" s="12" customFormat="1" ht="31.2" customHeight="1" x14ac:dyDescent="0.2">
      <c r="A50" s="27" t="s">
        <v>163</v>
      </c>
      <c r="B50" s="27" t="s">
        <v>164</v>
      </c>
      <c r="C50" s="7">
        <v>2017</v>
      </c>
      <c r="D50" s="26" t="s">
        <v>165</v>
      </c>
      <c r="E50" s="29" t="str">
        <f>HYPERLINK("https://www.lyellcollection.org/toc/sp/452/1")</f>
        <v>https://www.lyellcollection.org/toc/sp/452/1</v>
      </c>
      <c r="F50" s="19" t="s">
        <v>8</v>
      </c>
      <c r="G50" s="31"/>
      <c r="H50" s="31"/>
      <c r="I50" s="31" t="s">
        <v>1517</v>
      </c>
    </row>
    <row r="51" spans="1:24" s="12" customFormat="1" ht="31.2" customHeight="1" x14ac:dyDescent="0.2">
      <c r="A51" s="27" t="s">
        <v>141</v>
      </c>
      <c r="B51" s="35" t="s">
        <v>142</v>
      </c>
      <c r="C51" s="7">
        <v>2018</v>
      </c>
      <c r="D51" s="26" t="s">
        <v>143</v>
      </c>
      <c r="E51" s="29" t="str">
        <f>HYPERLINK("https://www.lyellcollection.org/toc/sp/451/1")</f>
        <v>https://www.lyellcollection.org/toc/sp/451/1</v>
      </c>
      <c r="F51" s="19" t="s">
        <v>8</v>
      </c>
      <c r="G51" s="31"/>
      <c r="H51" s="31"/>
      <c r="I51" s="31" t="s">
        <v>1517</v>
      </c>
    </row>
    <row r="52" spans="1:24" s="12" customFormat="1" ht="31.2" customHeight="1" x14ac:dyDescent="0.2">
      <c r="A52" s="27" t="s">
        <v>144</v>
      </c>
      <c r="B52" s="28" t="s">
        <v>145</v>
      </c>
      <c r="C52" s="7">
        <v>2018</v>
      </c>
      <c r="D52" s="26" t="s">
        <v>146</v>
      </c>
      <c r="E52" s="29" t="str">
        <f>HYPERLINK("https://www.lyellcollection.org/toc/sp/450/1")</f>
        <v>https://www.lyellcollection.org/toc/sp/450/1</v>
      </c>
      <c r="F52" s="19" t="s">
        <v>147</v>
      </c>
      <c r="G52" s="31"/>
      <c r="H52" s="31"/>
      <c r="I52" s="31" t="s">
        <v>1517</v>
      </c>
    </row>
    <row r="53" spans="1:24" s="12" customFormat="1" ht="31.2" customHeight="1" x14ac:dyDescent="0.2">
      <c r="A53" s="27" t="s">
        <v>166</v>
      </c>
      <c r="B53" s="28" t="s">
        <v>167</v>
      </c>
      <c r="C53" s="7">
        <v>2017</v>
      </c>
      <c r="D53" s="26" t="s">
        <v>168</v>
      </c>
      <c r="E53" s="29" t="str">
        <f>HYPERLINK("https://www.lyellcollection.org/toc/sp/449/1")</f>
        <v>https://www.lyellcollection.org/toc/sp/449/1</v>
      </c>
      <c r="F53" s="19" t="s">
        <v>147</v>
      </c>
      <c r="G53" s="31"/>
      <c r="H53" s="31"/>
      <c r="I53" s="31" t="s">
        <v>1517</v>
      </c>
    </row>
    <row r="54" spans="1:24" s="12" customFormat="1" ht="31.2" customHeight="1" x14ac:dyDescent="0.2">
      <c r="A54" s="27" t="s">
        <v>169</v>
      </c>
      <c r="B54" s="28" t="s">
        <v>170</v>
      </c>
      <c r="C54" s="7">
        <v>2017</v>
      </c>
      <c r="D54" s="26" t="s">
        <v>171</v>
      </c>
      <c r="E54" s="29" t="str">
        <f>HYPERLINK("https://www.lyellcollection.org/toc/sp/448/1")</f>
        <v>https://www.lyellcollection.org/toc/sp/448/1</v>
      </c>
      <c r="F54" s="19" t="s">
        <v>147</v>
      </c>
      <c r="G54" s="31"/>
      <c r="H54" s="31"/>
      <c r="I54" s="31" t="s">
        <v>1517</v>
      </c>
    </row>
    <row r="55" spans="1:24" s="12" customFormat="1" ht="31.2" customHeight="1" x14ac:dyDescent="0.2">
      <c r="A55" s="27" t="s">
        <v>172</v>
      </c>
      <c r="B55" s="28" t="s">
        <v>173</v>
      </c>
      <c r="C55" s="7">
        <v>2017</v>
      </c>
      <c r="D55" s="7" t="s">
        <v>174</v>
      </c>
      <c r="E55" s="29" t="str">
        <f>HYPERLINK("https://www.lyellcollection.org/toc/sp/447/1")</f>
        <v>https://www.lyellcollection.org/toc/sp/447/1</v>
      </c>
      <c r="F55" s="19" t="s">
        <v>147</v>
      </c>
      <c r="G55" s="31"/>
      <c r="H55" s="31"/>
      <c r="I55" s="31" t="s">
        <v>1517</v>
      </c>
    </row>
    <row r="56" spans="1:24" s="12" customFormat="1" ht="31.2" customHeight="1" x14ac:dyDescent="0.2">
      <c r="A56" s="30" t="s">
        <v>175</v>
      </c>
      <c r="B56" s="27" t="s">
        <v>176</v>
      </c>
      <c r="C56" s="7">
        <v>2017</v>
      </c>
      <c r="D56" s="26" t="s">
        <v>177</v>
      </c>
      <c r="E56" s="29" t="str">
        <f>HYPERLINK("https://www.lyellcollection.org/toc/sp/446/1")</f>
        <v>https://www.lyellcollection.org/toc/sp/446/1</v>
      </c>
      <c r="F56" s="19" t="s">
        <v>147</v>
      </c>
      <c r="G56" s="31"/>
      <c r="H56" s="31"/>
      <c r="I56" s="31" t="s">
        <v>1517</v>
      </c>
    </row>
    <row r="57" spans="1:24" s="12" customFormat="1" ht="31.2" customHeight="1" x14ac:dyDescent="0.2">
      <c r="A57" s="30" t="s">
        <v>178</v>
      </c>
      <c r="B57" s="27" t="s">
        <v>179</v>
      </c>
      <c r="C57" s="7">
        <v>2017</v>
      </c>
      <c r="D57" s="26" t="s">
        <v>180</v>
      </c>
      <c r="E57" s="29" t="str">
        <f>HYPERLINK("https://www.lyellcollection.org/toc/sp/445/1")</f>
        <v>https://www.lyellcollection.org/toc/sp/445/1</v>
      </c>
      <c r="F57" s="19" t="s">
        <v>147</v>
      </c>
      <c r="G57" s="31"/>
      <c r="H57" s="31"/>
      <c r="I57" s="31" t="s">
        <v>1517</v>
      </c>
    </row>
    <row r="58" spans="1:24" s="12" customFormat="1" ht="31.2" customHeight="1" x14ac:dyDescent="0.2">
      <c r="A58" s="30" t="s">
        <v>181</v>
      </c>
      <c r="B58" s="27" t="s">
        <v>182</v>
      </c>
      <c r="C58" s="7">
        <v>2017</v>
      </c>
      <c r="D58" s="26" t="s">
        <v>183</v>
      </c>
      <c r="E58" s="29" t="str">
        <f>HYPERLINK("https://www.lyellcollection.org/toc/sp/444/1")</f>
        <v>https://www.lyellcollection.org/toc/sp/444/1</v>
      </c>
      <c r="F58" s="19" t="s">
        <v>147</v>
      </c>
      <c r="G58" s="31"/>
      <c r="H58" s="31"/>
      <c r="I58" s="31" t="s">
        <v>1517</v>
      </c>
    </row>
    <row r="59" spans="1:24" s="12" customFormat="1" ht="31.2" customHeight="1" x14ac:dyDescent="0.2">
      <c r="A59" s="30" t="s">
        <v>184</v>
      </c>
      <c r="B59" s="27" t="s">
        <v>185</v>
      </c>
      <c r="C59" s="7">
        <v>2017</v>
      </c>
      <c r="D59" s="26" t="s">
        <v>186</v>
      </c>
      <c r="E59" s="29" t="str">
        <f>HYPERLINK("https://www.lyellcollection.org/toc/sp/443/1")</f>
        <v>https://www.lyellcollection.org/toc/sp/443/1</v>
      </c>
      <c r="F59" s="19" t="s">
        <v>147</v>
      </c>
      <c r="G59" s="31"/>
      <c r="H59" s="31"/>
      <c r="I59" s="31" t="s">
        <v>1517</v>
      </c>
    </row>
    <row r="60" spans="1:24" s="12" customFormat="1" ht="31.2" customHeight="1" x14ac:dyDescent="0.2">
      <c r="A60" s="30" t="s">
        <v>187</v>
      </c>
      <c r="B60" s="27" t="s">
        <v>188</v>
      </c>
      <c r="C60" s="7">
        <v>2017</v>
      </c>
      <c r="D60" s="7" t="s">
        <v>189</v>
      </c>
      <c r="E60" s="29" t="str">
        <f>HYPERLINK("https://www.lyellcollection.org/toc/sp/442/1")</f>
        <v>https://www.lyellcollection.org/toc/sp/442/1</v>
      </c>
      <c r="F60" s="19" t="s">
        <v>147</v>
      </c>
      <c r="G60" s="31"/>
      <c r="H60" s="31"/>
      <c r="I60" s="31" t="s">
        <v>1517</v>
      </c>
    </row>
    <row r="61" spans="1:24" s="12" customFormat="1" ht="31.2" customHeight="1" x14ac:dyDescent="0.2">
      <c r="A61" s="27" t="s">
        <v>190</v>
      </c>
      <c r="B61" s="27" t="s">
        <v>191</v>
      </c>
      <c r="C61" s="7">
        <v>2017</v>
      </c>
      <c r="D61" s="26" t="s">
        <v>192</v>
      </c>
      <c r="E61" s="29" t="str">
        <f>HYPERLINK("https://www.lyellcollection.org/toc/sp/441/1")</f>
        <v>https://www.lyellcollection.org/toc/sp/441/1</v>
      </c>
      <c r="F61" s="19" t="s">
        <v>147</v>
      </c>
      <c r="G61" s="26"/>
      <c r="H61" s="26"/>
      <c r="I61" s="31" t="s">
        <v>1517</v>
      </c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</row>
    <row r="62" spans="1:24" s="12" customFormat="1" ht="31.2" customHeight="1" x14ac:dyDescent="0.2">
      <c r="A62" s="27" t="s">
        <v>148</v>
      </c>
      <c r="B62" s="27" t="s">
        <v>149</v>
      </c>
      <c r="C62" s="7">
        <v>2018</v>
      </c>
      <c r="D62" s="26" t="s">
        <v>150</v>
      </c>
      <c r="E62" s="29" t="str">
        <f>HYPERLINK("https://www.lyellcollection.org/toc/sp/440/1")</f>
        <v>https://www.lyellcollection.org/toc/sp/440/1</v>
      </c>
      <c r="F62" s="19" t="s">
        <v>147</v>
      </c>
      <c r="G62" s="31"/>
      <c r="H62" s="31"/>
      <c r="I62" s="31" t="s">
        <v>1517</v>
      </c>
    </row>
    <row r="63" spans="1:24" s="12" customFormat="1" ht="31.2" customHeight="1" x14ac:dyDescent="0.2">
      <c r="A63" s="27" t="s">
        <v>193</v>
      </c>
      <c r="B63" s="27" t="s">
        <v>194</v>
      </c>
      <c r="C63" s="7">
        <v>2017</v>
      </c>
      <c r="D63" s="26" t="s">
        <v>195</v>
      </c>
      <c r="E63" s="29" t="str">
        <f>HYPERLINK("https://www.lyellcollection.org/toc/sp/439/1")</f>
        <v>https://www.lyellcollection.org/toc/sp/439/1</v>
      </c>
      <c r="F63" s="19" t="s">
        <v>147</v>
      </c>
      <c r="G63" s="31"/>
      <c r="H63" s="31"/>
      <c r="I63" s="31" t="s">
        <v>1517</v>
      </c>
    </row>
    <row r="64" spans="1:24" s="12" customFormat="1" ht="31.2" customHeight="1" x14ac:dyDescent="0.2">
      <c r="A64" s="30" t="s">
        <v>196</v>
      </c>
      <c r="B64" s="27" t="s">
        <v>197</v>
      </c>
      <c r="C64" s="7">
        <v>2017</v>
      </c>
      <c r="D64" s="26" t="s">
        <v>198</v>
      </c>
      <c r="E64" s="29" t="str">
        <f>HYPERLINK("https://www.lyellcollection.org/toc/sp/438/1")</f>
        <v>https://www.lyellcollection.org/toc/sp/438/1</v>
      </c>
      <c r="F64" s="19" t="s">
        <v>147</v>
      </c>
      <c r="G64" s="31"/>
      <c r="H64" s="31"/>
      <c r="I64" s="31" t="s">
        <v>1517</v>
      </c>
    </row>
    <row r="65" spans="1:22" s="12" customFormat="1" ht="31.2" customHeight="1" x14ac:dyDescent="0.2">
      <c r="A65" s="30" t="s">
        <v>199</v>
      </c>
      <c r="B65" s="27" t="s">
        <v>200</v>
      </c>
      <c r="C65" s="7">
        <v>2017</v>
      </c>
      <c r="D65" s="26" t="s">
        <v>201</v>
      </c>
      <c r="E65" s="29" t="str">
        <f>HYPERLINK("https://www.lyellcollection.org/toc/sp/437/1")</f>
        <v>https://www.lyellcollection.org/toc/sp/437/1</v>
      </c>
      <c r="F65" s="19" t="s">
        <v>147</v>
      </c>
      <c r="G65" s="31"/>
      <c r="H65" s="31"/>
      <c r="I65" s="31" t="s">
        <v>1517</v>
      </c>
    </row>
    <row r="66" spans="1:22" s="12" customFormat="1" ht="31.2" customHeight="1" x14ac:dyDescent="0.2">
      <c r="A66" s="30" t="s">
        <v>217</v>
      </c>
      <c r="B66" s="36" t="s">
        <v>218</v>
      </c>
      <c r="C66" s="7">
        <v>2016</v>
      </c>
      <c r="D66" s="26" t="s">
        <v>219</v>
      </c>
      <c r="E66" s="29" t="str">
        <f>HYPERLINK("https://www.lyellcollection.org/toc/sp/436/1")</f>
        <v>https://www.lyellcollection.org/toc/sp/436/1</v>
      </c>
      <c r="F66" s="19" t="s">
        <v>147</v>
      </c>
      <c r="G66" s="31"/>
      <c r="H66" s="31"/>
      <c r="I66" s="31" t="s">
        <v>1517</v>
      </c>
    </row>
    <row r="67" spans="1:22" s="12" customFormat="1" ht="31.2" customHeight="1" x14ac:dyDescent="0.2">
      <c r="A67" s="30" t="s">
        <v>151</v>
      </c>
      <c r="B67" s="27" t="s">
        <v>152</v>
      </c>
      <c r="C67" s="7">
        <v>2018</v>
      </c>
      <c r="D67" s="26" t="s">
        <v>153</v>
      </c>
      <c r="E67" s="29" t="str">
        <f>HYPERLINK("https://www.lyellcollection.org/toc/sp/435/1")</f>
        <v>https://www.lyellcollection.org/toc/sp/435/1</v>
      </c>
      <c r="F67" s="19" t="s">
        <v>147</v>
      </c>
      <c r="G67" s="31"/>
      <c r="H67" s="31"/>
      <c r="I67" s="31" t="s">
        <v>1517</v>
      </c>
    </row>
    <row r="68" spans="1:22" s="12" customFormat="1" ht="31.2" customHeight="1" x14ac:dyDescent="0.2">
      <c r="A68" s="30" t="s">
        <v>220</v>
      </c>
      <c r="B68" s="27" t="s">
        <v>221</v>
      </c>
      <c r="C68" s="7">
        <v>2016</v>
      </c>
      <c r="D68" s="26" t="s">
        <v>222</v>
      </c>
      <c r="E68" s="29" t="str">
        <f>HYPERLINK("https://www.lyellcollection.org/toc/sp/434/1")</f>
        <v>https://www.lyellcollection.org/toc/sp/434/1</v>
      </c>
      <c r="F68" s="19" t="s">
        <v>147</v>
      </c>
      <c r="G68" s="31"/>
      <c r="H68" s="31"/>
      <c r="I68" s="31" t="s">
        <v>1517</v>
      </c>
    </row>
    <row r="69" spans="1:22" s="12" customFormat="1" ht="31.2" customHeight="1" x14ac:dyDescent="0.2">
      <c r="A69" s="30" t="s">
        <v>202</v>
      </c>
      <c r="B69" s="27" t="s">
        <v>203</v>
      </c>
      <c r="C69" s="7">
        <v>2017</v>
      </c>
      <c r="D69" s="26" t="s">
        <v>204</v>
      </c>
      <c r="E69" s="29" t="str">
        <f>HYPERLINK("https://www.lyellcollection.org/toc/sp/433/1")</f>
        <v>https://www.lyellcollection.org/toc/sp/433/1</v>
      </c>
      <c r="F69" s="19" t="s">
        <v>147</v>
      </c>
      <c r="G69" s="31"/>
      <c r="H69" s="31"/>
      <c r="I69" s="31" t="s">
        <v>1517</v>
      </c>
    </row>
    <row r="70" spans="1:22" s="12" customFormat="1" ht="31.2" customHeight="1" x14ac:dyDescent="0.2">
      <c r="A70" s="27" t="s">
        <v>205</v>
      </c>
      <c r="B70" s="27" t="s">
        <v>206</v>
      </c>
      <c r="C70" s="7">
        <v>2017</v>
      </c>
      <c r="D70" s="26" t="s">
        <v>207</v>
      </c>
      <c r="E70" s="29" t="str">
        <f>HYPERLINK("https://www.lyellcollection.org/toc/sp/432/1")</f>
        <v>https://www.lyellcollection.org/toc/sp/432/1</v>
      </c>
      <c r="F70" s="19" t="s">
        <v>147</v>
      </c>
      <c r="G70" s="31"/>
      <c r="H70" s="31"/>
      <c r="I70" s="31" t="s">
        <v>1517</v>
      </c>
    </row>
    <row r="71" spans="1:22" s="12" customFormat="1" ht="31.2" customHeight="1" x14ac:dyDescent="0.2">
      <c r="A71" s="27" t="s">
        <v>223</v>
      </c>
      <c r="B71" s="27" t="s">
        <v>224</v>
      </c>
      <c r="C71" s="7">
        <v>2016</v>
      </c>
      <c r="D71" s="26" t="s">
        <v>225</v>
      </c>
      <c r="E71" s="29" t="str">
        <f>HYPERLINK("https://www.lyellcollection.org/toc/sp/431/1")</f>
        <v>https://www.lyellcollection.org/toc/sp/431/1</v>
      </c>
      <c r="F71" s="19" t="s">
        <v>147</v>
      </c>
      <c r="G71" s="31"/>
      <c r="H71" s="31"/>
      <c r="I71" s="31" t="s">
        <v>1517</v>
      </c>
    </row>
    <row r="72" spans="1:22" s="12" customFormat="1" ht="31.2" customHeight="1" x14ac:dyDescent="0.2">
      <c r="A72" s="27" t="s">
        <v>226</v>
      </c>
      <c r="B72" s="27" t="s">
        <v>227</v>
      </c>
      <c r="C72" s="7">
        <v>2016</v>
      </c>
      <c r="D72" s="26" t="s">
        <v>228</v>
      </c>
      <c r="E72" s="29" t="str">
        <f>HYPERLINK("https://www.lyellcollection.org/toc/sp/430/1")</f>
        <v>https://www.lyellcollection.org/toc/sp/430/1</v>
      </c>
      <c r="F72" s="19" t="s">
        <v>147</v>
      </c>
      <c r="G72" s="26"/>
      <c r="H72" s="26"/>
      <c r="I72" s="31" t="s">
        <v>1517</v>
      </c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</row>
    <row r="73" spans="1:22" s="12" customFormat="1" ht="31.2" customHeight="1" x14ac:dyDescent="0.2">
      <c r="A73" s="27" t="s">
        <v>229</v>
      </c>
      <c r="B73" s="27" t="s">
        <v>230</v>
      </c>
      <c r="C73" s="7">
        <v>2016</v>
      </c>
      <c r="D73" s="26" t="s">
        <v>231</v>
      </c>
      <c r="E73" s="29" t="str">
        <f>HYPERLINK("https://www.lyellcollection.org/toc/sp/429/1")</f>
        <v>https://www.lyellcollection.org/toc/sp/429/1</v>
      </c>
      <c r="F73" s="19" t="s">
        <v>147</v>
      </c>
      <c r="G73" s="31"/>
      <c r="H73" s="31"/>
      <c r="I73" s="31" t="s">
        <v>1517</v>
      </c>
    </row>
    <row r="74" spans="1:22" s="12" customFormat="1" ht="31.2" customHeight="1" x14ac:dyDescent="0.2">
      <c r="A74" s="27" t="s">
        <v>208</v>
      </c>
      <c r="B74" s="27" t="s">
        <v>209</v>
      </c>
      <c r="C74" s="7">
        <v>2017</v>
      </c>
      <c r="D74" s="26" t="s">
        <v>210</v>
      </c>
      <c r="E74" s="29" t="str">
        <f>HYPERLINK("https://www.lyellcollection.org/toc/sp/428/1")</f>
        <v>https://www.lyellcollection.org/toc/sp/428/1</v>
      </c>
      <c r="F74" s="19" t="s">
        <v>147</v>
      </c>
      <c r="G74" s="31"/>
      <c r="H74" s="31"/>
      <c r="I74" s="31" t="s">
        <v>1517</v>
      </c>
    </row>
    <row r="75" spans="1:22" s="12" customFormat="1" ht="31.2" customHeight="1" x14ac:dyDescent="0.2">
      <c r="A75" s="27" t="s">
        <v>211</v>
      </c>
      <c r="B75" s="27" t="s">
        <v>212</v>
      </c>
      <c r="C75" s="7">
        <v>2017</v>
      </c>
      <c r="D75" s="26" t="s">
        <v>213</v>
      </c>
      <c r="E75" s="29" t="str">
        <f>HYPERLINK("https://www.lyellcollection.org/toc/sp/427/1")</f>
        <v>https://www.lyellcollection.org/toc/sp/427/1</v>
      </c>
      <c r="F75" s="19" t="s">
        <v>147</v>
      </c>
      <c r="G75" s="31"/>
      <c r="H75" s="31"/>
      <c r="I75" s="31" t="s">
        <v>1517</v>
      </c>
    </row>
    <row r="76" spans="1:22" s="12" customFormat="1" ht="31.2" customHeight="1" x14ac:dyDescent="0.2">
      <c r="A76" s="27" t="s">
        <v>232</v>
      </c>
      <c r="B76" s="27" t="s">
        <v>233</v>
      </c>
      <c r="C76" s="7">
        <v>2016</v>
      </c>
      <c r="D76" s="26" t="s">
        <v>234</v>
      </c>
      <c r="E76" s="29" t="str">
        <f>HYPERLINK("https://www.lyellcollection.org/toc/sp/426/1")</f>
        <v>https://www.lyellcollection.org/toc/sp/426/1</v>
      </c>
      <c r="F76" s="19" t="s">
        <v>147</v>
      </c>
      <c r="G76" s="31"/>
      <c r="H76" s="31"/>
      <c r="I76" s="31" t="s">
        <v>1517</v>
      </c>
    </row>
    <row r="77" spans="1:22" s="12" customFormat="1" ht="31.2" customHeight="1" x14ac:dyDescent="0.2">
      <c r="A77" s="27" t="s">
        <v>235</v>
      </c>
      <c r="B77" s="27" t="s">
        <v>236</v>
      </c>
      <c r="C77" s="7">
        <v>2016</v>
      </c>
      <c r="D77" s="26" t="s">
        <v>237</v>
      </c>
      <c r="E77" s="29" t="str">
        <f>HYPERLINK("https://www.lyellcollection.org/toc/sp/425/1")</f>
        <v>https://www.lyellcollection.org/toc/sp/425/1</v>
      </c>
      <c r="F77" s="19" t="s">
        <v>147</v>
      </c>
      <c r="G77" s="26"/>
      <c r="H77" s="26"/>
      <c r="I77" s="31" t="s">
        <v>1517</v>
      </c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</row>
    <row r="78" spans="1:22" s="12" customFormat="1" ht="31.2" customHeight="1" x14ac:dyDescent="0.2">
      <c r="A78" s="27" t="s">
        <v>238</v>
      </c>
      <c r="B78" s="27" t="s">
        <v>239</v>
      </c>
      <c r="C78" s="7">
        <v>2016</v>
      </c>
      <c r="D78" s="26" t="s">
        <v>240</v>
      </c>
      <c r="E78" s="29" t="str">
        <f>HYPERLINK("https://www.lyellcollection.org/toc/sp/424/1")</f>
        <v>https://www.lyellcollection.org/toc/sp/424/1</v>
      </c>
      <c r="F78" s="19" t="s">
        <v>147</v>
      </c>
      <c r="G78" s="31"/>
      <c r="H78" s="31"/>
      <c r="I78" s="31" t="s">
        <v>1517</v>
      </c>
    </row>
    <row r="79" spans="1:22" s="12" customFormat="1" ht="31.2" customHeight="1" x14ac:dyDescent="0.2">
      <c r="A79" s="27" t="s">
        <v>241</v>
      </c>
      <c r="B79" s="27" t="s">
        <v>242</v>
      </c>
      <c r="C79" s="7">
        <v>2016</v>
      </c>
      <c r="D79" s="26" t="s">
        <v>243</v>
      </c>
      <c r="E79" s="29" t="str">
        <f>HYPERLINK("https://www.lyellcollection.org/toc/sp/423/1")</f>
        <v>https://www.lyellcollection.org/toc/sp/423/1</v>
      </c>
      <c r="F79" s="19" t="s">
        <v>147</v>
      </c>
      <c r="G79" s="31"/>
      <c r="H79" s="31"/>
      <c r="I79" s="31" t="s">
        <v>1517</v>
      </c>
    </row>
    <row r="80" spans="1:22" s="12" customFormat="1" ht="31.2" customHeight="1" x14ac:dyDescent="0.2">
      <c r="A80" s="27" t="s">
        <v>256</v>
      </c>
      <c r="B80" s="27" t="s">
        <v>257</v>
      </c>
      <c r="C80" s="7">
        <v>2015</v>
      </c>
      <c r="D80" s="26" t="s">
        <v>258</v>
      </c>
      <c r="E80" s="29" t="str">
        <f>HYPERLINK("https://www.lyellcollection.org/toc/sp/422/1")</f>
        <v>https://www.lyellcollection.org/toc/sp/422/1</v>
      </c>
      <c r="F80" s="19" t="s">
        <v>147</v>
      </c>
      <c r="G80" s="31"/>
      <c r="H80" s="31"/>
      <c r="I80" s="31" t="s">
        <v>1517</v>
      </c>
    </row>
    <row r="81" spans="1:9" s="12" customFormat="1" ht="31.2" customHeight="1" x14ac:dyDescent="0.2">
      <c r="A81" s="27" t="s">
        <v>259</v>
      </c>
      <c r="B81" s="27" t="s">
        <v>260</v>
      </c>
      <c r="C81" s="7">
        <v>2015</v>
      </c>
      <c r="D81" s="26" t="s">
        <v>261</v>
      </c>
      <c r="E81" s="29" t="str">
        <f>HYPERLINK("https://www.lyellcollection.org/toc/sp/421/1")</f>
        <v>https://www.lyellcollection.org/toc/sp/421/1</v>
      </c>
      <c r="F81" s="19" t="s">
        <v>147</v>
      </c>
      <c r="G81" s="31"/>
      <c r="H81" s="31"/>
      <c r="I81" s="31" t="s">
        <v>1517</v>
      </c>
    </row>
    <row r="82" spans="1:9" s="12" customFormat="1" ht="31.2" customHeight="1" x14ac:dyDescent="0.2">
      <c r="A82" s="27" t="s">
        <v>244</v>
      </c>
      <c r="B82" s="27" t="s">
        <v>245</v>
      </c>
      <c r="C82" s="7">
        <v>2016</v>
      </c>
      <c r="D82" s="26" t="s">
        <v>246</v>
      </c>
      <c r="E82" s="29" t="str">
        <f>HYPERLINK("https://www.lyellcollection.org/toc/sp/420/1")</f>
        <v>https://www.lyellcollection.org/toc/sp/420/1</v>
      </c>
      <c r="F82" s="19" t="s">
        <v>147</v>
      </c>
      <c r="G82" s="31"/>
      <c r="H82" s="31"/>
      <c r="I82" s="31" t="s">
        <v>1517</v>
      </c>
    </row>
    <row r="83" spans="1:9" s="12" customFormat="1" ht="31.2" customHeight="1" x14ac:dyDescent="0.2">
      <c r="A83" s="27" t="s">
        <v>262</v>
      </c>
      <c r="B83" s="27" t="s">
        <v>263</v>
      </c>
      <c r="C83" s="7">
        <v>2015</v>
      </c>
      <c r="D83" s="26" t="s">
        <v>264</v>
      </c>
      <c r="E83" s="29" t="str">
        <f>HYPERLINK("https://www.lyellcollection.org/toc/sp/419/1")</f>
        <v>https://www.lyellcollection.org/toc/sp/419/1</v>
      </c>
      <c r="F83" s="19" t="s">
        <v>147</v>
      </c>
      <c r="G83" s="31"/>
      <c r="H83" s="31"/>
      <c r="I83" s="31" t="s">
        <v>1517</v>
      </c>
    </row>
    <row r="84" spans="1:9" s="12" customFormat="1" ht="31.2" customHeight="1" x14ac:dyDescent="0.2">
      <c r="A84" s="27" t="s">
        <v>265</v>
      </c>
      <c r="B84" s="27" t="s">
        <v>266</v>
      </c>
      <c r="C84" s="7">
        <v>2015</v>
      </c>
      <c r="D84" s="26" t="s">
        <v>267</v>
      </c>
      <c r="E84" s="29" t="str">
        <f>HYPERLINK("https://www.lyellcollection.org/toc/sp/418/1")</f>
        <v>https://www.lyellcollection.org/toc/sp/418/1</v>
      </c>
      <c r="F84" s="19" t="s">
        <v>147</v>
      </c>
      <c r="G84" s="31"/>
      <c r="H84" s="31"/>
      <c r="I84" s="31" t="s">
        <v>1517</v>
      </c>
    </row>
    <row r="85" spans="1:9" s="12" customFormat="1" ht="31.2" customHeight="1" x14ac:dyDescent="0.2">
      <c r="A85" s="27" t="s">
        <v>247</v>
      </c>
      <c r="B85" s="27" t="s">
        <v>248</v>
      </c>
      <c r="C85" s="7">
        <v>2016</v>
      </c>
      <c r="D85" s="26" t="s">
        <v>249</v>
      </c>
      <c r="E85" s="29" t="str">
        <f>HYPERLINK("https://www.lyellcollection.org/toc/sp/417/1")</f>
        <v>https://www.lyellcollection.org/toc/sp/417/1</v>
      </c>
      <c r="F85" s="19" t="s">
        <v>147</v>
      </c>
      <c r="G85" s="31"/>
      <c r="H85" s="31"/>
      <c r="I85" s="31" t="s">
        <v>1517</v>
      </c>
    </row>
    <row r="86" spans="1:9" s="12" customFormat="1" ht="31.2" customHeight="1" x14ac:dyDescent="0.2">
      <c r="A86" s="27" t="s">
        <v>250</v>
      </c>
      <c r="B86" s="27" t="s">
        <v>251</v>
      </c>
      <c r="C86" s="7">
        <v>2016</v>
      </c>
      <c r="D86" s="26" t="s">
        <v>252</v>
      </c>
      <c r="E86" s="29" t="str">
        <f>HYPERLINK("https://www.lyellcollection.org/toc/sp/416/1")</f>
        <v>https://www.lyellcollection.org/toc/sp/416/1</v>
      </c>
      <c r="F86" s="19" t="s">
        <v>147</v>
      </c>
      <c r="G86" s="31"/>
      <c r="H86" s="31"/>
      <c r="I86" s="31" t="s">
        <v>1517</v>
      </c>
    </row>
    <row r="87" spans="1:9" s="12" customFormat="1" ht="31.2" customHeight="1" x14ac:dyDescent="0.2">
      <c r="A87" s="27" t="s">
        <v>268</v>
      </c>
      <c r="B87" s="27" t="s">
        <v>269</v>
      </c>
      <c r="C87" s="7">
        <v>2015</v>
      </c>
      <c r="D87" s="17" t="s">
        <v>270</v>
      </c>
      <c r="E87" s="29" t="str">
        <f>HYPERLINK("https://www.lyellcollection.org/toc/sp/415/1")</f>
        <v>https://www.lyellcollection.org/toc/sp/415/1</v>
      </c>
      <c r="F87" s="19" t="s">
        <v>147</v>
      </c>
      <c r="G87" s="31"/>
      <c r="H87" s="31"/>
      <c r="I87" s="31" t="s">
        <v>1517</v>
      </c>
    </row>
    <row r="88" spans="1:9" s="12" customFormat="1" ht="31.2" customHeight="1" x14ac:dyDescent="0.2">
      <c r="A88" s="27" t="s">
        <v>271</v>
      </c>
      <c r="B88" s="27" t="s">
        <v>272</v>
      </c>
      <c r="C88" s="7">
        <v>2015</v>
      </c>
      <c r="D88" s="17" t="s">
        <v>273</v>
      </c>
      <c r="E88" s="29" t="str">
        <f>HYPERLINK("https://www.lyellcollection.org/toc/sp/414/1")</f>
        <v>https://www.lyellcollection.org/toc/sp/414/1</v>
      </c>
      <c r="F88" s="19" t="s">
        <v>147</v>
      </c>
      <c r="G88" s="31"/>
      <c r="H88" s="31"/>
      <c r="I88" s="31" t="s">
        <v>1517</v>
      </c>
    </row>
    <row r="89" spans="1:9" s="12" customFormat="1" ht="31.2" customHeight="1" x14ac:dyDescent="0.2">
      <c r="A89" s="27" t="s">
        <v>274</v>
      </c>
      <c r="B89" s="27" t="s">
        <v>275</v>
      </c>
      <c r="C89" s="7">
        <v>2015</v>
      </c>
      <c r="D89" s="17" t="s">
        <v>276</v>
      </c>
      <c r="E89" s="29" t="str">
        <f>HYPERLINK("https://www.lyellcollection.org/toc/sp/413/1")</f>
        <v>https://www.lyellcollection.org/toc/sp/413/1</v>
      </c>
      <c r="F89" s="19" t="s">
        <v>147</v>
      </c>
      <c r="G89" s="31"/>
      <c r="H89" s="31"/>
      <c r="I89" s="31" t="s">
        <v>1517</v>
      </c>
    </row>
    <row r="90" spans="1:9" s="12" customFormat="1" ht="31.2" customHeight="1" x14ac:dyDescent="0.2">
      <c r="A90" s="27" t="s">
        <v>277</v>
      </c>
      <c r="B90" s="27" t="s">
        <v>278</v>
      </c>
      <c r="C90" s="7">
        <v>2015</v>
      </c>
      <c r="D90" s="17" t="s">
        <v>279</v>
      </c>
      <c r="E90" s="29" t="str">
        <f>HYPERLINK("https://www.lyellcollection.org/toc/sp/412/1")</f>
        <v>https://www.lyellcollection.org/toc/sp/412/1</v>
      </c>
      <c r="F90" s="19" t="s">
        <v>147</v>
      </c>
      <c r="G90" s="31"/>
      <c r="H90" s="31"/>
      <c r="I90" s="31" t="s">
        <v>1517</v>
      </c>
    </row>
    <row r="91" spans="1:9" s="12" customFormat="1" ht="31.2" customHeight="1" x14ac:dyDescent="0.2">
      <c r="A91" s="27" t="s">
        <v>253</v>
      </c>
      <c r="B91" s="27" t="s">
        <v>254</v>
      </c>
      <c r="C91" s="7">
        <v>2016</v>
      </c>
      <c r="D91" s="17" t="s">
        <v>255</v>
      </c>
      <c r="E91" s="29" t="str">
        <f>HYPERLINK("https://www.lyellcollection.org/toc/sp/411/1")</f>
        <v>https://www.lyellcollection.org/toc/sp/411/1</v>
      </c>
      <c r="F91" s="19" t="s">
        <v>147</v>
      </c>
      <c r="G91" s="31"/>
      <c r="H91" s="31"/>
      <c r="I91" s="31" t="s">
        <v>1517</v>
      </c>
    </row>
    <row r="92" spans="1:9" s="12" customFormat="1" ht="31.2" customHeight="1" x14ac:dyDescent="0.2">
      <c r="A92" s="27" t="s">
        <v>280</v>
      </c>
      <c r="B92" s="27" t="s">
        <v>281</v>
      </c>
      <c r="C92" s="7">
        <v>2015</v>
      </c>
      <c r="D92" s="17" t="s">
        <v>282</v>
      </c>
      <c r="E92" s="29" t="str">
        <f>HYPERLINK("https://www.lyellcollection.org/toc/sp/410/1")</f>
        <v>https://www.lyellcollection.org/toc/sp/410/1</v>
      </c>
      <c r="F92" s="19" t="s">
        <v>147</v>
      </c>
      <c r="G92" s="31"/>
      <c r="H92" s="31"/>
      <c r="I92" s="31" t="s">
        <v>1517</v>
      </c>
    </row>
    <row r="93" spans="1:9" s="12" customFormat="1" ht="31.2" customHeight="1" x14ac:dyDescent="0.2">
      <c r="A93" s="27" t="s">
        <v>283</v>
      </c>
      <c r="B93" s="27" t="s">
        <v>284</v>
      </c>
      <c r="C93" s="7">
        <v>2015</v>
      </c>
      <c r="D93" s="17" t="s">
        <v>285</v>
      </c>
      <c r="E93" s="29" t="str">
        <f>HYPERLINK("https://www.lyellcollection.org/toc/sp/409/1")</f>
        <v>https://www.lyellcollection.org/toc/sp/409/1</v>
      </c>
      <c r="F93" s="19" t="s">
        <v>147</v>
      </c>
      <c r="G93" s="31"/>
      <c r="H93" s="31"/>
      <c r="I93" s="31" t="s">
        <v>1517</v>
      </c>
    </row>
    <row r="94" spans="1:9" s="12" customFormat="1" ht="31.2" customHeight="1" x14ac:dyDescent="0.2">
      <c r="A94" s="27" t="s">
        <v>214</v>
      </c>
      <c r="B94" s="27" t="s">
        <v>215</v>
      </c>
      <c r="C94" s="7">
        <v>2017</v>
      </c>
      <c r="D94" s="17" t="s">
        <v>216</v>
      </c>
      <c r="E94" s="29" t="str">
        <f>HYPERLINK("https://www.lyellcollection.org/toc/sp/408/1")</f>
        <v>https://www.lyellcollection.org/toc/sp/408/1</v>
      </c>
      <c r="F94" s="19" t="s">
        <v>147</v>
      </c>
      <c r="G94" s="31"/>
      <c r="H94" s="31"/>
      <c r="I94" s="31" t="s">
        <v>1517</v>
      </c>
    </row>
    <row r="95" spans="1:9" s="12" customFormat="1" ht="31.2" customHeight="1" x14ac:dyDescent="0.2">
      <c r="A95" s="27" t="s">
        <v>286</v>
      </c>
      <c r="B95" s="27" t="s">
        <v>287</v>
      </c>
      <c r="C95" s="7">
        <v>2015</v>
      </c>
      <c r="D95" s="17" t="s">
        <v>288</v>
      </c>
      <c r="E95" s="29" t="str">
        <f>HYPERLINK("https://www.lyellcollection.org/toc/sp/407/1")</f>
        <v>https://www.lyellcollection.org/toc/sp/407/1</v>
      </c>
      <c r="F95" s="19" t="s">
        <v>147</v>
      </c>
      <c r="G95" s="31"/>
      <c r="H95" s="31"/>
      <c r="I95" s="31" t="s">
        <v>1517</v>
      </c>
    </row>
    <row r="96" spans="1:9" s="12" customFormat="1" ht="31.2" customHeight="1" x14ac:dyDescent="0.2">
      <c r="A96" s="27" t="s">
        <v>289</v>
      </c>
      <c r="B96" s="27" t="s">
        <v>290</v>
      </c>
      <c r="C96" s="7">
        <v>2015</v>
      </c>
      <c r="D96" s="17" t="s">
        <v>291</v>
      </c>
      <c r="E96" s="29" t="str">
        <f>HYPERLINK("https://www.lyellcollection.org/toc/sp/406/1")</f>
        <v>https://www.lyellcollection.org/toc/sp/406/1</v>
      </c>
      <c r="F96" s="19" t="s">
        <v>147</v>
      </c>
      <c r="G96" s="31"/>
      <c r="H96" s="31"/>
      <c r="I96" s="31" t="s">
        <v>1517</v>
      </c>
    </row>
    <row r="97" spans="1:24" s="12" customFormat="1" ht="31.2" customHeight="1" x14ac:dyDescent="0.2">
      <c r="A97" s="30" t="s">
        <v>314</v>
      </c>
      <c r="B97" s="21" t="s">
        <v>315</v>
      </c>
      <c r="C97" s="7">
        <v>2014</v>
      </c>
      <c r="D97" s="17" t="s">
        <v>316</v>
      </c>
      <c r="E97" s="29" t="str">
        <f>HYPERLINK("https://www.lyellcollection.org/toc/sp/405/1")</f>
        <v>https://www.lyellcollection.org/toc/sp/405/1</v>
      </c>
      <c r="F97" s="19" t="s">
        <v>147</v>
      </c>
      <c r="G97" s="31"/>
      <c r="H97" s="31"/>
      <c r="I97" s="31" t="s">
        <v>1517</v>
      </c>
    </row>
    <row r="98" spans="1:24" s="12" customFormat="1" ht="31.2" customHeight="1" x14ac:dyDescent="0.2">
      <c r="A98" s="30" t="s">
        <v>292</v>
      </c>
      <c r="B98" s="21" t="s">
        <v>293</v>
      </c>
      <c r="C98" s="7">
        <v>2015</v>
      </c>
      <c r="D98" s="26" t="s">
        <v>294</v>
      </c>
      <c r="E98" s="29" t="str">
        <f>HYPERLINK("https://www.lyellcollection.org/toc/sp/404/1")</f>
        <v>https://www.lyellcollection.org/toc/sp/404/1</v>
      </c>
      <c r="F98" s="19" t="s">
        <v>147</v>
      </c>
      <c r="G98" s="31"/>
      <c r="H98" s="31"/>
      <c r="I98" s="31" t="s">
        <v>1517</v>
      </c>
    </row>
    <row r="99" spans="1:24" s="12" customFormat="1" ht="31.2" customHeight="1" x14ac:dyDescent="0.2">
      <c r="A99" s="27" t="s">
        <v>295</v>
      </c>
      <c r="B99" s="21" t="s">
        <v>296</v>
      </c>
      <c r="C99" s="7">
        <v>2015</v>
      </c>
      <c r="D99" s="38" t="s">
        <v>297</v>
      </c>
      <c r="E99" s="29" t="str">
        <f>HYPERLINK("https://www.lyellcollection.org/toc/sp/403/1")</f>
        <v>https://www.lyellcollection.org/toc/sp/403/1</v>
      </c>
      <c r="F99" s="19" t="s">
        <v>147</v>
      </c>
      <c r="G99" s="31"/>
      <c r="H99" s="31"/>
      <c r="I99" s="31" t="s">
        <v>1517</v>
      </c>
    </row>
    <row r="100" spans="1:24" s="12" customFormat="1" ht="31.2" customHeight="1" x14ac:dyDescent="0.2">
      <c r="A100" s="27" t="s">
        <v>317</v>
      </c>
      <c r="B100" s="21" t="s">
        <v>318</v>
      </c>
      <c r="C100" s="7">
        <v>2014</v>
      </c>
      <c r="D100" s="38" t="s">
        <v>319</v>
      </c>
      <c r="E100" s="29" t="str">
        <f>HYPERLINK("https://www.lyellcollection.org/toc/sp/402/1")</f>
        <v>https://www.lyellcollection.org/toc/sp/402/1</v>
      </c>
      <c r="F100" s="19" t="s">
        <v>147</v>
      </c>
      <c r="G100" s="31"/>
      <c r="H100" s="31"/>
      <c r="I100" s="31" t="s">
        <v>1517</v>
      </c>
    </row>
    <row r="101" spans="1:24" s="12" customFormat="1" ht="31.2" customHeight="1" x14ac:dyDescent="0.2">
      <c r="A101" s="27" t="s">
        <v>298</v>
      </c>
      <c r="B101" s="21" t="s">
        <v>299</v>
      </c>
      <c r="C101" s="7">
        <v>2015</v>
      </c>
      <c r="D101" s="38" t="s">
        <v>300</v>
      </c>
      <c r="E101" s="29" t="str">
        <f>HYPERLINK("https://www.lyellcollection.org/toc/sp/401/1")</f>
        <v>https://www.lyellcollection.org/toc/sp/401/1</v>
      </c>
      <c r="F101" s="19" t="s">
        <v>147</v>
      </c>
      <c r="G101" s="31"/>
      <c r="H101" s="31"/>
      <c r="I101" s="31" t="s">
        <v>1517</v>
      </c>
    </row>
    <row r="102" spans="1:24" s="12" customFormat="1" ht="31.2" customHeight="1" x14ac:dyDescent="0.2">
      <c r="A102" s="27" t="s">
        <v>320</v>
      </c>
      <c r="B102" s="21" t="s">
        <v>321</v>
      </c>
      <c r="C102" s="7">
        <v>2014</v>
      </c>
      <c r="D102" s="26" t="s">
        <v>322</v>
      </c>
      <c r="E102" s="29" t="str">
        <f>HYPERLINK("https://www.lyellcollection.org/toc/sp/400/1")</f>
        <v>https://www.lyellcollection.org/toc/sp/400/1</v>
      </c>
      <c r="F102" s="19" t="s">
        <v>304</v>
      </c>
      <c r="G102" s="31"/>
      <c r="H102" s="31" t="s">
        <v>1516</v>
      </c>
      <c r="I102" s="31" t="s">
        <v>1517</v>
      </c>
    </row>
    <row r="103" spans="1:24" s="12" customFormat="1" ht="31.2" customHeight="1" x14ac:dyDescent="0.2">
      <c r="A103" s="27" t="s">
        <v>301</v>
      </c>
      <c r="B103" s="21" t="s">
        <v>302</v>
      </c>
      <c r="C103" s="7">
        <v>2015</v>
      </c>
      <c r="D103" s="26" t="s">
        <v>303</v>
      </c>
      <c r="E103" s="29" t="str">
        <f>HYPERLINK("https://www.lyellcollection.org/toc/sp/399/1")</f>
        <v>https://www.lyellcollection.org/toc/sp/399/1</v>
      </c>
      <c r="F103" s="19" t="s">
        <v>304</v>
      </c>
      <c r="G103" s="31"/>
      <c r="H103" s="31" t="s">
        <v>1516</v>
      </c>
      <c r="I103" s="31" t="s">
        <v>1517</v>
      </c>
    </row>
    <row r="104" spans="1:24" s="12" customFormat="1" ht="31.2" customHeight="1" x14ac:dyDescent="0.2">
      <c r="A104" s="27" t="s">
        <v>323</v>
      </c>
      <c r="B104" s="21" t="s">
        <v>324</v>
      </c>
      <c r="C104" s="7">
        <v>2014</v>
      </c>
      <c r="D104" s="38" t="s">
        <v>325</v>
      </c>
      <c r="E104" s="29" t="str">
        <f>HYPERLINK("https://www.lyellcollection.org/toc/sp/398/1")</f>
        <v>https://www.lyellcollection.org/toc/sp/398/1</v>
      </c>
      <c r="F104" s="19" t="s">
        <v>304</v>
      </c>
      <c r="G104" s="31"/>
      <c r="H104" s="31" t="s">
        <v>1516</v>
      </c>
      <c r="I104" s="31" t="s">
        <v>1517</v>
      </c>
    </row>
    <row r="105" spans="1:24" s="12" customFormat="1" ht="31.2" customHeight="1" x14ac:dyDescent="0.2">
      <c r="A105" s="27" t="s">
        <v>326</v>
      </c>
      <c r="B105" s="21" t="s">
        <v>327</v>
      </c>
      <c r="C105" s="7">
        <v>2014</v>
      </c>
      <c r="D105" s="38" t="s">
        <v>328</v>
      </c>
      <c r="E105" s="29" t="str">
        <f>HYPERLINK("https://www.lyellcollection.org/toc/sp/397/1")</f>
        <v>https://www.lyellcollection.org/toc/sp/397/1</v>
      </c>
      <c r="F105" s="19" t="s">
        <v>304</v>
      </c>
      <c r="G105" s="31"/>
      <c r="H105" s="31" t="s">
        <v>1516</v>
      </c>
      <c r="I105" s="31" t="s">
        <v>1517</v>
      </c>
      <c r="W105" s="34"/>
      <c r="X105" s="34"/>
    </row>
    <row r="106" spans="1:24" s="12" customFormat="1" ht="31.2" customHeight="1" x14ac:dyDescent="0.2">
      <c r="A106" s="27" t="s">
        <v>305</v>
      </c>
      <c r="B106" s="27" t="s">
        <v>306</v>
      </c>
      <c r="C106" s="7">
        <v>2015</v>
      </c>
      <c r="D106" s="26" t="s">
        <v>307</v>
      </c>
      <c r="E106" s="29" t="str">
        <f>HYPERLINK("https://www.lyellcollection.org/toc/sp/396/1")</f>
        <v>https://www.lyellcollection.org/toc/sp/396/1</v>
      </c>
      <c r="F106" s="19" t="s">
        <v>304</v>
      </c>
      <c r="G106" s="31"/>
      <c r="H106" s="31" t="s">
        <v>1516</v>
      </c>
      <c r="I106" s="31" t="s">
        <v>1517</v>
      </c>
    </row>
    <row r="107" spans="1:24" s="12" customFormat="1" ht="31.2" customHeight="1" x14ac:dyDescent="0.2">
      <c r="A107" s="27" t="s">
        <v>329</v>
      </c>
      <c r="B107" s="27" t="s">
        <v>330</v>
      </c>
      <c r="C107" s="7">
        <v>2014</v>
      </c>
      <c r="D107" s="17" t="s">
        <v>331</v>
      </c>
      <c r="E107" s="29" t="str">
        <f>HYPERLINK("https://www.lyellcollection.org/toc/sp/395/1")</f>
        <v>https://www.lyellcollection.org/toc/sp/395/1</v>
      </c>
      <c r="F107" s="19" t="s">
        <v>304</v>
      </c>
      <c r="G107" s="31"/>
      <c r="H107" s="31" t="s">
        <v>1516</v>
      </c>
      <c r="I107" s="31" t="s">
        <v>1517</v>
      </c>
    </row>
    <row r="108" spans="1:24" s="12" customFormat="1" ht="31.2" customHeight="1" x14ac:dyDescent="0.2">
      <c r="A108" s="27" t="s">
        <v>332</v>
      </c>
      <c r="B108" s="27" t="s">
        <v>333</v>
      </c>
      <c r="C108" s="7">
        <v>2014</v>
      </c>
      <c r="D108" s="17" t="s">
        <v>334</v>
      </c>
      <c r="E108" s="29" t="str">
        <f>HYPERLINK("https://www.lyellcollection.org/toc/sp/394/1")</f>
        <v>https://www.lyellcollection.org/toc/sp/394/1</v>
      </c>
      <c r="F108" s="19" t="s">
        <v>304</v>
      </c>
      <c r="G108" s="31"/>
      <c r="H108" s="31" t="s">
        <v>1516</v>
      </c>
      <c r="I108" s="31" t="s">
        <v>1517</v>
      </c>
    </row>
    <row r="109" spans="1:24" s="12" customFormat="1" ht="31.2" customHeight="1" x14ac:dyDescent="0.2">
      <c r="A109" s="27" t="s">
        <v>308</v>
      </c>
      <c r="B109" s="27" t="s">
        <v>309</v>
      </c>
      <c r="C109" s="7">
        <v>2015</v>
      </c>
      <c r="D109" s="17" t="s">
        <v>310</v>
      </c>
      <c r="E109" s="29" t="str">
        <f>HYPERLINK("https://www.lyellcollection.org/toc/sp/393/1")</f>
        <v>https://www.lyellcollection.org/toc/sp/393/1</v>
      </c>
      <c r="F109" s="19" t="s">
        <v>304</v>
      </c>
      <c r="G109" s="31"/>
      <c r="H109" s="31" t="s">
        <v>1516</v>
      </c>
      <c r="I109" s="31" t="s">
        <v>1517</v>
      </c>
    </row>
    <row r="110" spans="1:24" s="12" customFormat="1" ht="31.2" customHeight="1" x14ac:dyDescent="0.2">
      <c r="A110" s="27" t="s">
        <v>335</v>
      </c>
      <c r="B110" s="27" t="s">
        <v>336</v>
      </c>
      <c r="C110" s="7">
        <v>2014</v>
      </c>
      <c r="D110" s="17" t="s">
        <v>337</v>
      </c>
      <c r="E110" s="29" t="str">
        <f>HYPERLINK("https://www.lyellcollection.org/toc/sp/392/1")</f>
        <v>https://www.lyellcollection.org/toc/sp/392/1</v>
      </c>
      <c r="F110" s="19" t="s">
        <v>304</v>
      </c>
      <c r="G110" s="31"/>
      <c r="H110" s="31" t="s">
        <v>1516</v>
      </c>
      <c r="I110" s="31" t="s">
        <v>1517</v>
      </c>
    </row>
    <row r="111" spans="1:24" s="12" customFormat="1" ht="31.2" customHeight="1" x14ac:dyDescent="0.2">
      <c r="A111" s="27" t="s">
        <v>338</v>
      </c>
      <c r="B111" s="27" t="s">
        <v>339</v>
      </c>
      <c r="C111" s="7">
        <v>2014</v>
      </c>
      <c r="D111" s="17" t="s">
        <v>340</v>
      </c>
      <c r="E111" s="29" t="str">
        <f>HYPERLINK("https://www.lyellcollection.org/toc/sp/391/1")</f>
        <v>https://www.lyellcollection.org/toc/sp/391/1</v>
      </c>
      <c r="F111" s="19" t="s">
        <v>304</v>
      </c>
      <c r="G111" s="31"/>
      <c r="H111" s="31" t="s">
        <v>1516</v>
      </c>
      <c r="I111" s="31" t="s">
        <v>1517</v>
      </c>
    </row>
    <row r="112" spans="1:24" s="12" customFormat="1" ht="31.2" customHeight="1" x14ac:dyDescent="0.2">
      <c r="A112" s="27" t="s">
        <v>341</v>
      </c>
      <c r="B112" s="27" t="s">
        <v>342</v>
      </c>
      <c r="C112" s="7">
        <v>2014</v>
      </c>
      <c r="D112" s="17" t="s">
        <v>343</v>
      </c>
      <c r="E112" s="29" t="str">
        <f>HYPERLINK("https://www.lyellcollection.org/toc/sp/390/1")</f>
        <v>https://www.lyellcollection.org/toc/sp/390/1</v>
      </c>
      <c r="F112" s="19" t="s">
        <v>304</v>
      </c>
      <c r="G112" s="31"/>
      <c r="H112" s="31" t="s">
        <v>1516</v>
      </c>
      <c r="I112" s="31" t="s">
        <v>1517</v>
      </c>
    </row>
    <row r="113" spans="1:24" s="12" customFormat="1" ht="31.2" customHeight="1" x14ac:dyDescent="0.2">
      <c r="A113" s="27" t="s">
        <v>311</v>
      </c>
      <c r="B113" s="27" t="s">
        <v>312</v>
      </c>
      <c r="C113" s="7">
        <v>2015</v>
      </c>
      <c r="D113" s="17" t="s">
        <v>313</v>
      </c>
      <c r="E113" s="29" t="str">
        <f>HYPERLINK("https://www.lyellcollection.org/toc/sp/389/1")</f>
        <v>https://www.lyellcollection.org/toc/sp/389/1</v>
      </c>
      <c r="F113" s="19" t="s">
        <v>304</v>
      </c>
      <c r="G113" s="31"/>
      <c r="H113" s="31" t="s">
        <v>1516</v>
      </c>
      <c r="I113" s="31" t="s">
        <v>1517</v>
      </c>
    </row>
    <row r="114" spans="1:24" s="12" customFormat="1" ht="31.2" customHeight="1" x14ac:dyDescent="0.2">
      <c r="A114" s="27" t="s">
        <v>344</v>
      </c>
      <c r="B114" s="27" t="s">
        <v>345</v>
      </c>
      <c r="C114" s="7">
        <v>2014</v>
      </c>
      <c r="D114" s="17" t="s">
        <v>346</v>
      </c>
      <c r="E114" s="29" t="str">
        <f>HYPERLINK("https://www.lyellcollection.org/toc/sp/388/1")</f>
        <v>https://www.lyellcollection.org/toc/sp/388/1</v>
      </c>
      <c r="F114" s="19" t="s">
        <v>304</v>
      </c>
      <c r="G114" s="31"/>
      <c r="H114" s="31" t="s">
        <v>1516</v>
      </c>
      <c r="I114" s="31" t="s">
        <v>1517</v>
      </c>
    </row>
    <row r="115" spans="1:24" s="12" customFormat="1" ht="31.2" customHeight="1" x14ac:dyDescent="0.2">
      <c r="A115" s="27" t="s">
        <v>347</v>
      </c>
      <c r="B115" s="27" t="s">
        <v>348</v>
      </c>
      <c r="C115" s="7">
        <v>2014</v>
      </c>
      <c r="D115" s="17" t="s">
        <v>349</v>
      </c>
      <c r="E115" s="29" t="str">
        <f>HYPERLINK("https://www.lyellcollection.org/toc/sp/387/1")</f>
        <v>https://www.lyellcollection.org/toc/sp/387/1</v>
      </c>
      <c r="F115" s="19" t="s">
        <v>304</v>
      </c>
      <c r="G115" s="31"/>
      <c r="H115" s="31" t="s">
        <v>1516</v>
      </c>
      <c r="I115" s="31" t="s">
        <v>1517</v>
      </c>
    </row>
    <row r="116" spans="1:24" s="12" customFormat="1" ht="31.2" customHeight="1" x14ac:dyDescent="0.2">
      <c r="A116" s="27" t="s">
        <v>350</v>
      </c>
      <c r="B116" s="27" t="s">
        <v>351</v>
      </c>
      <c r="C116" s="7">
        <v>2014</v>
      </c>
      <c r="D116" s="17" t="s">
        <v>352</v>
      </c>
      <c r="E116" s="29" t="str">
        <f>HYPERLINK("https://www.lyellcollection.org/toc/sp/386/1")</f>
        <v>https://www.lyellcollection.org/toc/sp/386/1</v>
      </c>
      <c r="F116" s="19" t="s">
        <v>304</v>
      </c>
      <c r="G116" s="31"/>
      <c r="H116" s="31" t="s">
        <v>1516</v>
      </c>
      <c r="I116" s="31" t="s">
        <v>1517</v>
      </c>
    </row>
    <row r="117" spans="1:24" s="12" customFormat="1" ht="31.2" customHeight="1" x14ac:dyDescent="0.2">
      <c r="A117" s="27" t="s">
        <v>353</v>
      </c>
      <c r="B117" s="27" t="s">
        <v>354</v>
      </c>
      <c r="C117" s="7">
        <v>2014</v>
      </c>
      <c r="D117" s="17" t="s">
        <v>355</v>
      </c>
      <c r="E117" s="29" t="str">
        <f>HYPERLINK("https://www.lyellcollection.org/toc/sp/385/1")</f>
        <v>https://www.lyellcollection.org/toc/sp/385/1</v>
      </c>
      <c r="F117" s="19" t="s">
        <v>304</v>
      </c>
      <c r="G117" s="31"/>
      <c r="H117" s="31" t="s">
        <v>1516</v>
      </c>
      <c r="I117" s="31" t="s">
        <v>1517</v>
      </c>
    </row>
    <row r="118" spans="1:24" s="12" customFormat="1" ht="31.2" customHeight="1" x14ac:dyDescent="0.2">
      <c r="A118" s="27" t="s">
        <v>362</v>
      </c>
      <c r="B118" s="27" t="s">
        <v>363</v>
      </c>
      <c r="C118" s="7">
        <v>2013</v>
      </c>
      <c r="D118" s="17" t="s">
        <v>364</v>
      </c>
      <c r="E118" s="29" t="str">
        <f>HYPERLINK("https://www.lyellcollection.org/toc/sp/384/1")</f>
        <v>https://www.lyellcollection.org/toc/sp/384/1</v>
      </c>
      <c r="F118" s="19" t="s">
        <v>304</v>
      </c>
      <c r="G118" s="31"/>
      <c r="H118" s="31" t="s">
        <v>1516</v>
      </c>
      <c r="I118" s="31" t="s">
        <v>1517</v>
      </c>
    </row>
    <row r="119" spans="1:24" s="12" customFormat="1" ht="31.2" customHeight="1" x14ac:dyDescent="0.2">
      <c r="A119" s="27" t="s">
        <v>365</v>
      </c>
      <c r="B119" s="27" t="s">
        <v>366</v>
      </c>
      <c r="C119" s="7">
        <v>2013</v>
      </c>
      <c r="D119" s="17" t="s">
        <v>367</v>
      </c>
      <c r="E119" s="29" t="str">
        <f>HYPERLINK("https://www.lyellcollection.org/toc/sp/383/1")</f>
        <v>https://www.lyellcollection.org/toc/sp/383/1</v>
      </c>
      <c r="F119" s="19" t="s">
        <v>304</v>
      </c>
      <c r="G119" s="31"/>
      <c r="H119" s="31" t="s">
        <v>1516</v>
      </c>
      <c r="I119" s="31" t="s">
        <v>1517</v>
      </c>
    </row>
    <row r="120" spans="1:24" s="12" customFormat="1" ht="31.2" customHeight="1" x14ac:dyDescent="0.2">
      <c r="A120" s="27" t="s">
        <v>368</v>
      </c>
      <c r="B120" s="27" t="s">
        <v>369</v>
      </c>
      <c r="C120" s="7">
        <v>2013</v>
      </c>
      <c r="D120" s="17" t="s">
        <v>370</v>
      </c>
      <c r="E120" s="29" t="str">
        <f>HYPERLINK("https://www.lyellcollection.org/toc/sp/382/1")</f>
        <v>https://www.lyellcollection.org/toc/sp/382/1</v>
      </c>
      <c r="F120" s="19" t="s">
        <v>304</v>
      </c>
      <c r="G120" s="31"/>
      <c r="H120" s="31" t="s">
        <v>1516</v>
      </c>
      <c r="I120" s="31" t="s">
        <v>1517</v>
      </c>
    </row>
    <row r="121" spans="1:24" s="12" customFormat="1" ht="31.2" customHeight="1" x14ac:dyDescent="0.2">
      <c r="A121" s="27" t="s">
        <v>371</v>
      </c>
      <c r="B121" s="27" t="s">
        <v>372</v>
      </c>
      <c r="C121" s="7">
        <v>2013</v>
      </c>
      <c r="D121" s="17" t="s">
        <v>373</v>
      </c>
      <c r="E121" s="29" t="str">
        <f>HYPERLINK("https://www.lyellcollection.org/toc/sp/381/1")</f>
        <v>https://www.lyellcollection.org/toc/sp/381/1</v>
      </c>
      <c r="F121" s="19" t="s">
        <v>304</v>
      </c>
      <c r="G121" s="31"/>
      <c r="H121" s="31" t="s">
        <v>1516</v>
      </c>
      <c r="I121" s="31" t="s">
        <v>1517</v>
      </c>
    </row>
    <row r="122" spans="1:24" s="12" customFormat="1" ht="31.2" customHeight="1" x14ac:dyDescent="0.2">
      <c r="A122" s="27" t="s">
        <v>374</v>
      </c>
      <c r="B122" s="27" t="s">
        <v>375</v>
      </c>
      <c r="C122" s="7">
        <v>2013</v>
      </c>
      <c r="D122" s="17" t="s">
        <v>376</v>
      </c>
      <c r="E122" s="29" t="str">
        <f>HYPERLINK("https://www.lyellcollection.org/toc/sp/380/1")</f>
        <v>https://www.lyellcollection.org/toc/sp/380/1</v>
      </c>
      <c r="F122" s="19" t="s">
        <v>304</v>
      </c>
      <c r="G122" s="26"/>
      <c r="H122" s="31" t="s">
        <v>1516</v>
      </c>
      <c r="I122" s="31" t="s">
        <v>1517</v>
      </c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s="12" customFormat="1" ht="31.2" customHeight="1" x14ac:dyDescent="0.2">
      <c r="A123" s="27" t="s">
        <v>377</v>
      </c>
      <c r="B123" s="27" t="s">
        <v>378</v>
      </c>
      <c r="C123" s="7">
        <v>2013</v>
      </c>
      <c r="D123" s="17" t="s">
        <v>379</v>
      </c>
      <c r="E123" s="29" t="str">
        <f>HYPERLINK("https://www.lyellcollection.org/toc/sp/379/1")</f>
        <v>https://www.lyellcollection.org/toc/sp/379/1</v>
      </c>
      <c r="F123" s="19" t="s">
        <v>304</v>
      </c>
      <c r="G123" s="31"/>
      <c r="H123" s="31" t="s">
        <v>1516</v>
      </c>
      <c r="I123" s="31" t="s">
        <v>1517</v>
      </c>
    </row>
    <row r="124" spans="1:24" s="12" customFormat="1" ht="31.2" customHeight="1" x14ac:dyDescent="0.2">
      <c r="A124" s="27" t="s">
        <v>356</v>
      </c>
      <c r="B124" s="27" t="s">
        <v>357</v>
      </c>
      <c r="C124" s="7">
        <v>2014</v>
      </c>
      <c r="D124" s="17" t="s">
        <v>358</v>
      </c>
      <c r="E124" s="29" t="str">
        <f>HYPERLINK("https://www.lyellcollection.org/toc/sp/378/1")</f>
        <v>https://www.lyellcollection.org/toc/sp/378/1</v>
      </c>
      <c r="F124" s="19" t="s">
        <v>304</v>
      </c>
      <c r="G124" s="31"/>
      <c r="H124" s="31" t="s">
        <v>1516</v>
      </c>
      <c r="I124" s="31" t="s">
        <v>1517</v>
      </c>
    </row>
    <row r="125" spans="1:24" s="12" customFormat="1" ht="31.2" customHeight="1" x14ac:dyDescent="0.2">
      <c r="A125" s="27" t="s">
        <v>380</v>
      </c>
      <c r="B125" s="27" t="s">
        <v>381</v>
      </c>
      <c r="C125" s="7">
        <v>2013</v>
      </c>
      <c r="D125" s="38" t="s">
        <v>382</v>
      </c>
      <c r="E125" s="29" t="str">
        <f>HYPERLINK("https://www.lyellcollection.org/toc/sp/377/1")</f>
        <v>https://www.lyellcollection.org/toc/sp/377/1</v>
      </c>
      <c r="F125" s="19" t="s">
        <v>304</v>
      </c>
      <c r="G125" s="31"/>
      <c r="H125" s="31" t="s">
        <v>1516</v>
      </c>
      <c r="I125" s="31" t="s">
        <v>1517</v>
      </c>
    </row>
    <row r="126" spans="1:24" s="12" customFormat="1" ht="31.2" customHeight="1" x14ac:dyDescent="0.2">
      <c r="A126" s="27" t="s">
        <v>383</v>
      </c>
      <c r="B126" s="27" t="s">
        <v>384</v>
      </c>
      <c r="C126" s="7">
        <v>2013</v>
      </c>
      <c r="D126" s="26" t="s">
        <v>385</v>
      </c>
      <c r="E126" s="29" t="str">
        <f>HYPERLINK("https://www.lyellcollection.org/toc/sp/376/1")</f>
        <v>https://www.lyellcollection.org/toc/sp/376/1</v>
      </c>
      <c r="F126" s="19" t="s">
        <v>304</v>
      </c>
      <c r="G126" s="31"/>
      <c r="H126" s="31" t="s">
        <v>1516</v>
      </c>
      <c r="I126" s="31" t="s">
        <v>1517</v>
      </c>
    </row>
    <row r="127" spans="1:24" s="12" customFormat="1" ht="31.2" customHeight="1" x14ac:dyDescent="0.2">
      <c r="A127" s="27" t="s">
        <v>386</v>
      </c>
      <c r="B127" s="27" t="s">
        <v>387</v>
      </c>
      <c r="C127" s="26">
        <v>2013</v>
      </c>
      <c r="D127" s="26" t="s">
        <v>388</v>
      </c>
      <c r="E127" s="29" t="str">
        <f>HYPERLINK("https://www.lyellcollection.org/toc/sp/375/1")</f>
        <v>https://www.lyellcollection.org/toc/sp/375/1</v>
      </c>
      <c r="F127" s="19" t="s">
        <v>304</v>
      </c>
      <c r="G127" s="31"/>
      <c r="H127" s="31" t="s">
        <v>1516</v>
      </c>
      <c r="I127" s="31" t="s">
        <v>1517</v>
      </c>
    </row>
    <row r="128" spans="1:24" s="12" customFormat="1" ht="31.2" customHeight="1" x14ac:dyDescent="0.2">
      <c r="A128" s="27" t="s">
        <v>359</v>
      </c>
      <c r="B128" s="27" t="s">
        <v>360</v>
      </c>
      <c r="C128" s="26">
        <v>2014</v>
      </c>
      <c r="D128" s="26" t="s">
        <v>361</v>
      </c>
      <c r="E128" s="29" t="str">
        <f>HYPERLINK("https://www.lyellcollection.org/toc/sp/374/1")</f>
        <v>https://www.lyellcollection.org/toc/sp/374/1</v>
      </c>
      <c r="F128" s="19" t="s">
        <v>304</v>
      </c>
      <c r="G128" s="31"/>
      <c r="H128" s="31" t="s">
        <v>1516</v>
      </c>
      <c r="I128" s="31" t="s">
        <v>1517</v>
      </c>
    </row>
    <row r="129" spans="1:22" s="12" customFormat="1" ht="31.2" customHeight="1" x14ac:dyDescent="0.2">
      <c r="A129" s="27" t="s">
        <v>389</v>
      </c>
      <c r="B129" s="27" t="s">
        <v>390</v>
      </c>
      <c r="C129" s="26">
        <v>2013</v>
      </c>
      <c r="D129" s="26" t="s">
        <v>391</v>
      </c>
      <c r="E129" s="29" t="str">
        <f>HYPERLINK("https://www.lyellcollection.org/toc/sp/373/1")</f>
        <v>https://www.lyellcollection.org/toc/sp/373/1</v>
      </c>
      <c r="F129" s="19" t="s">
        <v>304</v>
      </c>
      <c r="G129" s="31"/>
      <c r="H129" s="31" t="s">
        <v>1516</v>
      </c>
      <c r="I129" s="31" t="s">
        <v>1517</v>
      </c>
    </row>
    <row r="130" spans="1:22" s="12" customFormat="1" ht="31.2" customHeight="1" x14ac:dyDescent="0.2">
      <c r="A130" s="30" t="s">
        <v>392</v>
      </c>
      <c r="B130" s="27" t="s">
        <v>393</v>
      </c>
      <c r="C130" s="26">
        <v>2013</v>
      </c>
      <c r="D130" s="26" t="s">
        <v>394</v>
      </c>
      <c r="E130" s="29" t="str">
        <f>HYPERLINK("https://www.lyellcollection.org/toc/sp/372/1")</f>
        <v>https://www.lyellcollection.org/toc/sp/372/1</v>
      </c>
      <c r="F130" s="19" t="s">
        <v>304</v>
      </c>
      <c r="G130" s="31"/>
      <c r="H130" s="31" t="s">
        <v>1516</v>
      </c>
      <c r="I130" s="31" t="s">
        <v>1517</v>
      </c>
    </row>
    <row r="131" spans="1:22" s="12" customFormat="1" ht="31.2" customHeight="1" x14ac:dyDescent="0.2">
      <c r="A131" s="27" t="s">
        <v>398</v>
      </c>
      <c r="B131" s="27" t="s">
        <v>399</v>
      </c>
      <c r="C131" s="7">
        <v>2012</v>
      </c>
      <c r="D131" s="17" t="s">
        <v>400</v>
      </c>
      <c r="E131" s="29" t="str">
        <f>HYPERLINK("https://www.lyellcollection.org/toc/sp/371/1")</f>
        <v>https://www.lyellcollection.org/toc/sp/371/1</v>
      </c>
      <c r="F131" s="19" t="s">
        <v>304</v>
      </c>
      <c r="G131" s="31"/>
      <c r="H131" s="31" t="s">
        <v>1516</v>
      </c>
      <c r="I131" s="31" t="s">
        <v>1517</v>
      </c>
    </row>
    <row r="132" spans="1:22" s="12" customFormat="1" ht="31.2" customHeight="1" x14ac:dyDescent="0.2">
      <c r="A132" s="27" t="s">
        <v>401</v>
      </c>
      <c r="B132" s="27" t="s">
        <v>402</v>
      </c>
      <c r="C132" s="7">
        <v>2012</v>
      </c>
      <c r="D132" s="17" t="s">
        <v>403</v>
      </c>
      <c r="E132" s="29" t="str">
        <f>HYPERLINK("https://www.lyellcollection.org/toc/sp/370/1")</f>
        <v>https://www.lyellcollection.org/toc/sp/370/1</v>
      </c>
      <c r="F132" s="19" t="s">
        <v>304</v>
      </c>
      <c r="G132" s="31"/>
      <c r="H132" s="31" t="s">
        <v>1516</v>
      </c>
      <c r="I132" s="31" t="s">
        <v>1517</v>
      </c>
    </row>
    <row r="133" spans="1:22" s="12" customFormat="1" ht="31.2" customHeight="1" x14ac:dyDescent="0.2">
      <c r="A133" s="27" t="s">
        <v>395</v>
      </c>
      <c r="B133" s="27" t="s">
        <v>396</v>
      </c>
      <c r="C133" s="7">
        <v>2013</v>
      </c>
      <c r="D133" s="17" t="s">
        <v>397</v>
      </c>
      <c r="E133" s="29" t="str">
        <f>HYPERLINK("https://www.lyellcollection.org/toc/sp/369/1")</f>
        <v>https://www.lyellcollection.org/toc/sp/369/1</v>
      </c>
      <c r="F133" s="19" t="s">
        <v>304</v>
      </c>
      <c r="G133" s="31"/>
      <c r="H133" s="31" t="s">
        <v>1516</v>
      </c>
      <c r="I133" s="31" t="s">
        <v>1517</v>
      </c>
    </row>
    <row r="134" spans="1:22" s="12" customFormat="1" ht="31.2" customHeight="1" x14ac:dyDescent="0.2">
      <c r="A134" s="27" t="s">
        <v>404</v>
      </c>
      <c r="B134" s="27" t="s">
        <v>405</v>
      </c>
      <c r="C134" s="7">
        <v>2012</v>
      </c>
      <c r="D134" s="17" t="s">
        <v>406</v>
      </c>
      <c r="E134" s="29" t="str">
        <f>HYPERLINK("https://www.lyellcollection.org/toc/sp/368/1")</f>
        <v>https://www.lyellcollection.org/toc/sp/368/1</v>
      </c>
      <c r="F134" s="19" t="s">
        <v>304</v>
      </c>
      <c r="G134" s="31"/>
      <c r="H134" s="31" t="s">
        <v>1516</v>
      </c>
      <c r="I134" s="31" t="s">
        <v>1517</v>
      </c>
    </row>
    <row r="135" spans="1:22" s="12" customFormat="1" ht="31.2" customHeight="1" x14ac:dyDescent="0.2">
      <c r="A135" s="27" t="s">
        <v>407</v>
      </c>
      <c r="B135" s="27" t="s">
        <v>408</v>
      </c>
      <c r="C135" s="7">
        <v>2012</v>
      </c>
      <c r="D135" s="17" t="s">
        <v>409</v>
      </c>
      <c r="E135" s="29" t="str">
        <f>HYPERLINK("https://www.lyellcollection.org/toc/sp/367/1")</f>
        <v>https://www.lyellcollection.org/toc/sp/367/1</v>
      </c>
      <c r="F135" s="19" t="s">
        <v>304</v>
      </c>
      <c r="G135" s="31"/>
      <c r="H135" s="31" t="s">
        <v>1516</v>
      </c>
      <c r="I135" s="31" t="s">
        <v>1517</v>
      </c>
    </row>
    <row r="136" spans="1:22" s="12" customFormat="1" ht="31.2" customHeight="1" x14ac:dyDescent="0.2">
      <c r="A136" s="27" t="s">
        <v>410</v>
      </c>
      <c r="B136" s="27" t="s">
        <v>411</v>
      </c>
      <c r="C136" s="7">
        <v>2012</v>
      </c>
      <c r="D136" s="17" t="s">
        <v>412</v>
      </c>
      <c r="E136" s="29" t="str">
        <f>HYPERLINK("https://www.lyellcollection.org/toc/sp/366/1")</f>
        <v>https://www.lyellcollection.org/toc/sp/366/1</v>
      </c>
      <c r="F136" s="19" t="s">
        <v>304</v>
      </c>
      <c r="G136" s="26"/>
      <c r="H136" s="31" t="s">
        <v>1516</v>
      </c>
      <c r="I136" s="31" t="s">
        <v>1517</v>
      </c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</row>
    <row r="137" spans="1:22" s="12" customFormat="1" ht="31.2" customHeight="1" x14ac:dyDescent="0.2">
      <c r="A137" s="27" t="s">
        <v>413</v>
      </c>
      <c r="B137" s="27" t="s">
        <v>414</v>
      </c>
      <c r="C137" s="7">
        <v>2012</v>
      </c>
      <c r="D137" s="17" t="s">
        <v>415</v>
      </c>
      <c r="E137" s="29" t="str">
        <f>HYPERLINK("https://www.lyellcollection.org/toc/sp/365/1")</f>
        <v>https://www.lyellcollection.org/toc/sp/365/1</v>
      </c>
      <c r="F137" s="19" t="s">
        <v>304</v>
      </c>
      <c r="G137" s="31"/>
      <c r="H137" s="31" t="s">
        <v>1516</v>
      </c>
      <c r="I137" s="31" t="s">
        <v>1517</v>
      </c>
    </row>
    <row r="138" spans="1:22" s="12" customFormat="1" ht="31.2" customHeight="1" x14ac:dyDescent="0.2">
      <c r="A138" s="27" t="s">
        <v>416</v>
      </c>
      <c r="B138" s="27" t="s">
        <v>417</v>
      </c>
      <c r="C138" s="7">
        <v>2012</v>
      </c>
      <c r="D138" s="17" t="s">
        <v>418</v>
      </c>
      <c r="E138" s="29" t="str">
        <f>HYPERLINK("https://www.lyellcollection.org/toc/sp/364/1")</f>
        <v>https://www.lyellcollection.org/toc/sp/364/1</v>
      </c>
      <c r="F138" s="19" t="s">
        <v>304</v>
      </c>
      <c r="G138" s="31"/>
      <c r="H138" s="31" t="s">
        <v>1516</v>
      </c>
      <c r="I138" s="31" t="s">
        <v>1517</v>
      </c>
    </row>
    <row r="139" spans="1:22" s="12" customFormat="1" ht="31.2" customHeight="1" x14ac:dyDescent="0.2">
      <c r="A139" s="27" t="s">
        <v>419</v>
      </c>
      <c r="B139" s="27" t="s">
        <v>420</v>
      </c>
      <c r="C139" s="7">
        <v>2012</v>
      </c>
      <c r="D139" s="17" t="s">
        <v>421</v>
      </c>
      <c r="E139" s="29" t="str">
        <f>HYPERLINK("https://www.lyellcollection.org/toc/sp/363/1")</f>
        <v>https://www.lyellcollection.org/toc/sp/363/1</v>
      </c>
      <c r="F139" s="19" t="s">
        <v>304</v>
      </c>
      <c r="G139" s="31"/>
      <c r="H139" s="31" t="s">
        <v>1516</v>
      </c>
      <c r="I139" s="31" t="s">
        <v>1517</v>
      </c>
    </row>
    <row r="140" spans="1:22" s="12" customFormat="1" ht="31.2" customHeight="1" x14ac:dyDescent="0.2">
      <c r="A140" s="27" t="s">
        <v>422</v>
      </c>
      <c r="B140" s="27" t="s">
        <v>423</v>
      </c>
      <c r="C140" s="7">
        <v>2012</v>
      </c>
      <c r="D140" s="17" t="s">
        <v>424</v>
      </c>
      <c r="E140" s="29" t="str">
        <f>HYPERLINK("https://www.lyellcollection.org/toc/sp/362/1")</f>
        <v>https://www.lyellcollection.org/toc/sp/362/1</v>
      </c>
      <c r="F140" s="19" t="s">
        <v>304</v>
      </c>
      <c r="G140" s="31"/>
      <c r="H140" s="31" t="s">
        <v>1516</v>
      </c>
      <c r="I140" s="31" t="s">
        <v>1517</v>
      </c>
    </row>
    <row r="141" spans="1:22" s="12" customFormat="1" ht="31.2" customHeight="1" x14ac:dyDescent="0.2">
      <c r="A141" s="27" t="s">
        <v>425</v>
      </c>
      <c r="B141" s="27" t="s">
        <v>426</v>
      </c>
      <c r="C141" s="7">
        <v>2012</v>
      </c>
      <c r="D141" s="17" t="s">
        <v>427</v>
      </c>
      <c r="E141" s="29" t="str">
        <f>HYPERLINK("https://www.lyellcollection.org/toc/sp/361/1")</f>
        <v>https://www.lyellcollection.org/toc/sp/361/1</v>
      </c>
      <c r="F141" s="19" t="s">
        <v>304</v>
      </c>
      <c r="G141" s="31"/>
      <c r="H141" s="31" t="s">
        <v>1516</v>
      </c>
      <c r="I141" s="31" t="s">
        <v>1517</v>
      </c>
    </row>
    <row r="142" spans="1:22" s="12" customFormat="1" ht="31.2" customHeight="1" x14ac:dyDescent="0.2">
      <c r="A142" s="27" t="s">
        <v>428</v>
      </c>
      <c r="B142" s="27" t="s">
        <v>429</v>
      </c>
      <c r="C142" s="7">
        <v>2011</v>
      </c>
      <c r="D142" s="17" t="s">
        <v>430</v>
      </c>
      <c r="E142" s="29" t="str">
        <f>HYPERLINK("https://www.lyellcollection.org/toc/sp/360/1")</f>
        <v>https://www.lyellcollection.org/toc/sp/360/1</v>
      </c>
      <c r="F142" s="19" t="s">
        <v>304</v>
      </c>
      <c r="G142" s="31"/>
      <c r="H142" s="31" t="s">
        <v>1516</v>
      </c>
      <c r="I142" s="31" t="s">
        <v>1517</v>
      </c>
    </row>
    <row r="143" spans="1:22" s="12" customFormat="1" ht="31.2" customHeight="1" x14ac:dyDescent="0.2">
      <c r="A143" s="27" t="s">
        <v>431</v>
      </c>
      <c r="B143" s="27" t="s">
        <v>432</v>
      </c>
      <c r="C143" s="7">
        <v>2011</v>
      </c>
      <c r="D143" s="17" t="s">
        <v>433</v>
      </c>
      <c r="E143" s="29" t="str">
        <f>HYPERLINK("https://www.lyellcollection.org/toc/sp/359/1")</f>
        <v>https://www.lyellcollection.org/toc/sp/359/1</v>
      </c>
      <c r="F143" s="19" t="s">
        <v>304</v>
      </c>
      <c r="G143" s="31"/>
      <c r="H143" s="31" t="s">
        <v>1516</v>
      </c>
      <c r="I143" s="31" t="s">
        <v>1517</v>
      </c>
    </row>
    <row r="144" spans="1:22" s="12" customFormat="1" ht="31.2" customHeight="1" x14ac:dyDescent="0.2">
      <c r="A144" s="27" t="s">
        <v>434</v>
      </c>
      <c r="B144" s="27" t="s">
        <v>435</v>
      </c>
      <c r="C144" s="7">
        <v>2011</v>
      </c>
      <c r="D144" s="17" t="s">
        <v>436</v>
      </c>
      <c r="E144" s="29" t="str">
        <f>HYPERLINK("https://www.lyellcollection.org/toc/sp/358/1")</f>
        <v>https://www.lyellcollection.org/toc/sp/358/1</v>
      </c>
      <c r="F144" s="19" t="s">
        <v>304</v>
      </c>
      <c r="G144" s="31"/>
      <c r="H144" s="31" t="s">
        <v>1516</v>
      </c>
      <c r="I144" s="31" t="s">
        <v>1517</v>
      </c>
    </row>
    <row r="145" spans="1:9" s="12" customFormat="1" ht="31.2" customHeight="1" x14ac:dyDescent="0.2">
      <c r="A145" s="27" t="s">
        <v>437</v>
      </c>
      <c r="B145" s="27" t="s">
        <v>438</v>
      </c>
      <c r="C145" s="7">
        <v>2011</v>
      </c>
      <c r="D145" s="17" t="s">
        <v>439</v>
      </c>
      <c r="E145" s="29" t="str">
        <f>HYPERLINK("https://www.lyellcollection.org/toc/sp/357/1")</f>
        <v>https://www.lyellcollection.org/toc/sp/357/1</v>
      </c>
      <c r="F145" s="19" t="s">
        <v>304</v>
      </c>
      <c r="G145" s="31"/>
      <c r="H145" s="31" t="s">
        <v>1516</v>
      </c>
      <c r="I145" s="31" t="s">
        <v>1517</v>
      </c>
    </row>
    <row r="146" spans="1:9" s="12" customFormat="1" ht="31.2" customHeight="1" x14ac:dyDescent="0.2">
      <c r="A146" s="30" t="s">
        <v>440</v>
      </c>
      <c r="B146" s="27" t="s">
        <v>441</v>
      </c>
      <c r="C146" s="26">
        <v>2011</v>
      </c>
      <c r="D146" s="17" t="s">
        <v>442</v>
      </c>
      <c r="E146" s="29" t="str">
        <f>HYPERLINK("https://www.lyellcollection.org/toc/sp/356/1")</f>
        <v>https://www.lyellcollection.org/toc/sp/356/1</v>
      </c>
      <c r="F146" s="19" t="s">
        <v>304</v>
      </c>
      <c r="G146" s="31"/>
      <c r="H146" s="31" t="s">
        <v>1516</v>
      </c>
      <c r="I146" s="31" t="s">
        <v>1517</v>
      </c>
    </row>
    <row r="147" spans="1:9" s="12" customFormat="1" ht="31.2" customHeight="1" x14ac:dyDescent="0.2">
      <c r="A147" s="30" t="s">
        <v>443</v>
      </c>
      <c r="B147" s="27" t="s">
        <v>444</v>
      </c>
      <c r="C147" s="26">
        <v>2011</v>
      </c>
      <c r="D147" s="17" t="s">
        <v>445</v>
      </c>
      <c r="E147" s="29" t="str">
        <f>HYPERLINK("https://www.lyellcollection.org/toc/sp/355/1")</f>
        <v>https://www.lyellcollection.org/toc/sp/355/1</v>
      </c>
      <c r="F147" s="19" t="s">
        <v>304</v>
      </c>
      <c r="G147" s="31"/>
      <c r="H147" s="31" t="s">
        <v>1516</v>
      </c>
      <c r="I147" s="31" t="s">
        <v>1517</v>
      </c>
    </row>
    <row r="148" spans="1:9" s="12" customFormat="1" ht="31.2" customHeight="1" x14ac:dyDescent="0.2">
      <c r="A148" s="30" t="s">
        <v>446</v>
      </c>
      <c r="B148" s="27" t="s">
        <v>447</v>
      </c>
      <c r="C148" s="26">
        <v>2011</v>
      </c>
      <c r="D148" s="17" t="s">
        <v>448</v>
      </c>
      <c r="E148" s="29" t="str">
        <f>HYPERLINK("https://www.lyellcollection.org/toc/sp/354/1")</f>
        <v>https://www.lyellcollection.org/toc/sp/354/1</v>
      </c>
      <c r="F148" s="19" t="s">
        <v>304</v>
      </c>
      <c r="G148" s="31"/>
      <c r="H148" s="31" t="s">
        <v>1516</v>
      </c>
      <c r="I148" s="31" t="s">
        <v>1517</v>
      </c>
    </row>
    <row r="149" spans="1:9" s="12" customFormat="1" ht="31.2" customHeight="1" x14ac:dyDescent="0.2">
      <c r="A149" s="30" t="s">
        <v>449</v>
      </c>
      <c r="B149" s="27" t="s">
        <v>450</v>
      </c>
      <c r="C149" s="26">
        <v>2011</v>
      </c>
      <c r="D149" s="17" t="s">
        <v>451</v>
      </c>
      <c r="E149" s="29" t="str">
        <f>HYPERLINK("https://www.lyellcollection.org/toc/sp/353/1")</f>
        <v>https://www.lyellcollection.org/toc/sp/353/1</v>
      </c>
      <c r="F149" s="19" t="s">
        <v>304</v>
      </c>
      <c r="G149" s="31"/>
      <c r="H149" s="31" t="s">
        <v>1516</v>
      </c>
      <c r="I149" s="31" t="s">
        <v>1517</v>
      </c>
    </row>
    <row r="150" spans="1:9" s="12" customFormat="1" ht="31.2" customHeight="1" x14ac:dyDescent="0.2">
      <c r="A150" s="30" t="s">
        <v>452</v>
      </c>
      <c r="B150" s="27" t="s">
        <v>453</v>
      </c>
      <c r="C150" s="26">
        <v>2011</v>
      </c>
      <c r="D150" s="17" t="s">
        <v>454</v>
      </c>
      <c r="E150" s="29" t="str">
        <f>HYPERLINK("https://www.lyellcollection.org/toc/sp/352/1")</f>
        <v>https://www.lyellcollection.org/toc/sp/352/1</v>
      </c>
      <c r="F150" s="19" t="s">
        <v>304</v>
      </c>
      <c r="G150" s="31"/>
      <c r="H150" s="31" t="s">
        <v>1516</v>
      </c>
      <c r="I150" s="31" t="s">
        <v>1517</v>
      </c>
    </row>
    <row r="151" spans="1:9" s="12" customFormat="1" ht="31.2" customHeight="1" x14ac:dyDescent="0.2">
      <c r="A151" s="30" t="s">
        <v>455</v>
      </c>
      <c r="B151" s="27" t="s">
        <v>456</v>
      </c>
      <c r="C151" s="26">
        <v>2011</v>
      </c>
      <c r="D151" s="17" t="s">
        <v>457</v>
      </c>
      <c r="E151" s="29" t="str">
        <f>HYPERLINK("https://www.lyellcollection.org/toc/sp/351/1")</f>
        <v>https://www.lyellcollection.org/toc/sp/351/1</v>
      </c>
      <c r="F151" s="19" t="s">
        <v>304</v>
      </c>
      <c r="G151" s="31"/>
      <c r="H151" s="31" t="s">
        <v>1516</v>
      </c>
      <c r="I151" s="31" t="s">
        <v>1517</v>
      </c>
    </row>
    <row r="152" spans="1:9" s="12" customFormat="1" ht="31.2" customHeight="1" x14ac:dyDescent="0.2">
      <c r="A152" s="30" t="s">
        <v>458</v>
      </c>
      <c r="B152" s="27" t="s">
        <v>459</v>
      </c>
      <c r="C152" s="26">
        <v>2011</v>
      </c>
      <c r="D152" s="17" t="s">
        <v>460</v>
      </c>
      <c r="E152" s="29" t="str">
        <f>HYPERLINK("https://www.lyellcollection.org/toc/sp/350/1")</f>
        <v>https://www.lyellcollection.org/toc/sp/350/1</v>
      </c>
      <c r="F152" s="19" t="s">
        <v>304</v>
      </c>
      <c r="G152" s="31"/>
      <c r="H152" s="31" t="s">
        <v>1516</v>
      </c>
      <c r="I152" s="31" t="s">
        <v>1517</v>
      </c>
    </row>
    <row r="153" spans="1:9" s="12" customFormat="1" ht="31.2" customHeight="1" x14ac:dyDescent="0.2">
      <c r="A153" s="30" t="s">
        <v>461</v>
      </c>
      <c r="B153" s="27" t="s">
        <v>462</v>
      </c>
      <c r="C153" s="26">
        <v>2011</v>
      </c>
      <c r="D153" s="17" t="s">
        <v>463</v>
      </c>
      <c r="E153" s="29" t="str">
        <f>HYPERLINK("https://www.lyellcollection.org/toc/sp/349/1")</f>
        <v>https://www.lyellcollection.org/toc/sp/349/1</v>
      </c>
      <c r="F153" s="19" t="s">
        <v>304</v>
      </c>
      <c r="G153" s="31"/>
      <c r="H153" s="31" t="s">
        <v>1516</v>
      </c>
      <c r="I153" s="31" t="s">
        <v>1517</v>
      </c>
    </row>
    <row r="154" spans="1:9" s="12" customFormat="1" ht="31.2" customHeight="1" x14ac:dyDescent="0.2">
      <c r="A154" s="30" t="s">
        <v>464</v>
      </c>
      <c r="B154" s="27" t="s">
        <v>465</v>
      </c>
      <c r="C154" s="26">
        <v>2010</v>
      </c>
      <c r="D154" s="17" t="s">
        <v>466</v>
      </c>
      <c r="E154" s="29" t="str">
        <f>HYPERLINK("https://www.lyellcollection.org/toc/sp/348/1")</f>
        <v>https://www.lyellcollection.org/toc/sp/348/1</v>
      </c>
      <c r="F154" s="19" t="s">
        <v>304</v>
      </c>
      <c r="G154" s="31"/>
      <c r="H154" s="31" t="s">
        <v>1516</v>
      </c>
      <c r="I154" s="31" t="s">
        <v>1517</v>
      </c>
    </row>
    <row r="155" spans="1:9" s="12" customFormat="1" ht="31.2" customHeight="1" x14ac:dyDescent="0.2">
      <c r="A155" s="30" t="s">
        <v>467</v>
      </c>
      <c r="B155" s="27" t="s">
        <v>468</v>
      </c>
      <c r="C155" s="26">
        <v>2010</v>
      </c>
      <c r="D155" s="17" t="s">
        <v>469</v>
      </c>
      <c r="E155" s="29" t="str">
        <f>HYPERLINK("https://www.lyellcollection.org/toc/sp/347/1")</f>
        <v>https://www.lyellcollection.org/toc/sp/347/1</v>
      </c>
      <c r="F155" s="19" t="s">
        <v>304</v>
      </c>
      <c r="G155" s="31"/>
      <c r="H155" s="31" t="s">
        <v>1516</v>
      </c>
      <c r="I155" s="31" t="s">
        <v>1517</v>
      </c>
    </row>
    <row r="156" spans="1:9" s="12" customFormat="1" ht="31.2" customHeight="1" x14ac:dyDescent="0.2">
      <c r="A156" s="30" t="s">
        <v>470</v>
      </c>
      <c r="B156" s="27" t="s">
        <v>471</v>
      </c>
      <c r="C156" s="26">
        <v>2010</v>
      </c>
      <c r="D156" s="17" t="s">
        <v>472</v>
      </c>
      <c r="E156" s="29" t="str">
        <f>HYPERLINK("https://www.lyellcollection.org/toc/sp/346/1")</f>
        <v>https://www.lyellcollection.org/toc/sp/346/1</v>
      </c>
      <c r="F156" s="19" t="s">
        <v>304</v>
      </c>
      <c r="G156" s="31"/>
      <c r="H156" s="31" t="s">
        <v>1516</v>
      </c>
      <c r="I156" s="31" t="s">
        <v>1517</v>
      </c>
    </row>
    <row r="157" spans="1:9" s="12" customFormat="1" ht="31.2" customHeight="1" x14ac:dyDescent="0.2">
      <c r="A157" s="30" t="s">
        <v>473</v>
      </c>
      <c r="B157" s="27" t="s">
        <v>474</v>
      </c>
      <c r="C157" s="26">
        <v>2010</v>
      </c>
      <c r="D157" s="26" t="s">
        <v>475</v>
      </c>
      <c r="E157" s="29" t="str">
        <f>HYPERLINK("https://www.lyellcollection.org/toc/sp/345/1")</f>
        <v>https://www.lyellcollection.org/toc/sp/345/1</v>
      </c>
      <c r="F157" s="19" t="s">
        <v>304</v>
      </c>
      <c r="G157" s="31"/>
      <c r="H157" s="31" t="s">
        <v>1516</v>
      </c>
      <c r="I157" s="31" t="s">
        <v>1517</v>
      </c>
    </row>
    <row r="158" spans="1:9" s="12" customFormat="1" ht="31.2" customHeight="1" x14ac:dyDescent="0.2">
      <c r="A158" s="30" t="s">
        <v>476</v>
      </c>
      <c r="B158" s="27" t="s">
        <v>477</v>
      </c>
      <c r="C158" s="26">
        <v>2010</v>
      </c>
      <c r="D158" s="26" t="s">
        <v>478</v>
      </c>
      <c r="E158" s="29" t="str">
        <f>HYPERLINK("https://www.lyellcollection.org/toc/sp/344/1")</f>
        <v>https://www.lyellcollection.org/toc/sp/344/1</v>
      </c>
      <c r="F158" s="19" t="s">
        <v>304</v>
      </c>
      <c r="G158" s="31"/>
      <c r="H158" s="31" t="s">
        <v>1516</v>
      </c>
      <c r="I158" s="31" t="s">
        <v>1517</v>
      </c>
    </row>
    <row r="159" spans="1:9" s="12" customFormat="1" ht="31.2" customHeight="1" x14ac:dyDescent="0.2">
      <c r="A159" s="30" t="s">
        <v>479</v>
      </c>
      <c r="B159" s="27" t="s">
        <v>480</v>
      </c>
      <c r="C159" s="26">
        <v>2010</v>
      </c>
      <c r="D159" s="26" t="s">
        <v>481</v>
      </c>
      <c r="E159" s="29" t="str">
        <f>HYPERLINK("https://www.lyellcollection.org/toc/sp/343/1")</f>
        <v>https://www.lyellcollection.org/toc/sp/343/1</v>
      </c>
      <c r="F159" s="19" t="s">
        <v>304</v>
      </c>
      <c r="G159" s="31"/>
      <c r="H159" s="31" t="s">
        <v>1516</v>
      </c>
      <c r="I159" s="31" t="s">
        <v>1517</v>
      </c>
    </row>
    <row r="160" spans="1:9" s="12" customFormat="1" ht="31.2" customHeight="1" x14ac:dyDescent="0.2">
      <c r="A160" s="30" t="s">
        <v>482</v>
      </c>
      <c r="B160" s="27" t="s">
        <v>483</v>
      </c>
      <c r="C160" s="26">
        <v>2010</v>
      </c>
      <c r="D160" s="26" t="s">
        <v>484</v>
      </c>
      <c r="E160" s="29" t="str">
        <f>HYPERLINK("https://www.lyellcollection.org/toc/sp/342/1")</f>
        <v>https://www.lyellcollection.org/toc/sp/342/1</v>
      </c>
      <c r="F160" s="19" t="s">
        <v>304</v>
      </c>
      <c r="G160" s="31"/>
      <c r="H160" s="31" t="s">
        <v>1516</v>
      </c>
      <c r="I160" s="31" t="s">
        <v>1517</v>
      </c>
    </row>
    <row r="161" spans="1:24" s="12" customFormat="1" ht="31.2" customHeight="1" x14ac:dyDescent="0.2">
      <c r="A161" s="30" t="s">
        <v>485</v>
      </c>
      <c r="B161" s="27" t="s">
        <v>486</v>
      </c>
      <c r="C161" s="26">
        <v>2010</v>
      </c>
      <c r="D161" s="26" t="s">
        <v>487</v>
      </c>
      <c r="E161" s="29" t="str">
        <f>HYPERLINK("https://www.lyellcollection.org/toc/sp/341/1")</f>
        <v>https://www.lyellcollection.org/toc/sp/341/1</v>
      </c>
      <c r="F161" s="19" t="s">
        <v>304</v>
      </c>
      <c r="G161" s="31"/>
      <c r="H161" s="31" t="s">
        <v>1516</v>
      </c>
      <c r="I161" s="31" t="s">
        <v>1517</v>
      </c>
    </row>
    <row r="162" spans="1:24" s="12" customFormat="1" ht="31.2" customHeight="1" x14ac:dyDescent="0.2">
      <c r="A162" s="30" t="s">
        <v>488</v>
      </c>
      <c r="B162" s="27" t="s">
        <v>489</v>
      </c>
      <c r="C162" s="26">
        <v>2010</v>
      </c>
      <c r="D162" s="26" t="s">
        <v>490</v>
      </c>
      <c r="E162" s="29" t="str">
        <f>HYPERLINK("https://www.lyellcollection.org/toc/sp/340/1")</f>
        <v>https://www.lyellcollection.org/toc/sp/340/1</v>
      </c>
      <c r="F162" s="19" t="s">
        <v>304</v>
      </c>
      <c r="G162" s="31"/>
      <c r="H162" s="31" t="s">
        <v>1516</v>
      </c>
      <c r="I162" s="31" t="s">
        <v>1517</v>
      </c>
    </row>
    <row r="163" spans="1:24" s="12" customFormat="1" ht="31.2" customHeight="1" x14ac:dyDescent="0.2">
      <c r="A163" s="30" t="s">
        <v>491</v>
      </c>
      <c r="B163" s="27" t="s">
        <v>492</v>
      </c>
      <c r="C163" s="26">
        <v>2010</v>
      </c>
      <c r="D163" s="26" t="s">
        <v>493</v>
      </c>
      <c r="E163" s="29" t="str">
        <f>HYPERLINK("https://www.lyellcollection.org/toc/sp/339/1")</f>
        <v>https://www.lyellcollection.org/toc/sp/339/1</v>
      </c>
      <c r="F163" s="19" t="s">
        <v>304</v>
      </c>
      <c r="G163" s="31"/>
      <c r="H163" s="31" t="s">
        <v>1516</v>
      </c>
      <c r="I163" s="31" t="s">
        <v>1517</v>
      </c>
    </row>
    <row r="164" spans="1:24" s="12" customFormat="1" ht="31.2" customHeight="1" x14ac:dyDescent="0.2">
      <c r="A164" s="30" t="s">
        <v>494</v>
      </c>
      <c r="B164" s="27" t="s">
        <v>495</v>
      </c>
      <c r="C164" s="26">
        <v>2010</v>
      </c>
      <c r="D164" s="26" t="s">
        <v>496</v>
      </c>
      <c r="E164" s="29" t="str">
        <f>HYPERLINK("https://www.lyellcollection.org/toc/sp/338/1")</f>
        <v>https://www.lyellcollection.org/toc/sp/338/1</v>
      </c>
      <c r="F164" s="19" t="s">
        <v>304</v>
      </c>
      <c r="G164" s="31"/>
      <c r="H164" s="31" t="s">
        <v>1516</v>
      </c>
      <c r="I164" s="31" t="s">
        <v>1517</v>
      </c>
    </row>
    <row r="165" spans="1:24" s="12" customFormat="1" ht="31.2" customHeight="1" x14ac:dyDescent="0.2">
      <c r="A165" s="30" t="s">
        <v>497</v>
      </c>
      <c r="B165" s="27" t="s">
        <v>498</v>
      </c>
      <c r="C165" s="26">
        <v>2010</v>
      </c>
      <c r="D165" s="26" t="s">
        <v>499</v>
      </c>
      <c r="E165" s="29" t="str">
        <f>HYPERLINK("https://www.lyellcollection.org/toc/sp/337/1")</f>
        <v>https://www.lyellcollection.org/toc/sp/337/1</v>
      </c>
      <c r="F165" s="19" t="s">
        <v>304</v>
      </c>
      <c r="G165" s="31"/>
      <c r="H165" s="31" t="s">
        <v>1516</v>
      </c>
      <c r="I165" s="31" t="s">
        <v>1517</v>
      </c>
      <c r="W165" s="34"/>
      <c r="X165" s="34"/>
    </row>
    <row r="166" spans="1:24" s="12" customFormat="1" ht="31.2" customHeight="1" x14ac:dyDescent="0.2">
      <c r="A166" s="30" t="s">
        <v>500</v>
      </c>
      <c r="B166" s="27" t="s">
        <v>501</v>
      </c>
      <c r="C166" s="26">
        <v>2010</v>
      </c>
      <c r="D166" s="26" t="s">
        <v>502</v>
      </c>
      <c r="E166" s="29" t="str">
        <f>HYPERLINK("https://www.lyellcollection.org/toc/sp/336/1")</f>
        <v>https://www.lyellcollection.org/toc/sp/336/1</v>
      </c>
      <c r="F166" s="19" t="s">
        <v>304</v>
      </c>
      <c r="G166" s="31"/>
      <c r="H166" s="31" t="s">
        <v>1516</v>
      </c>
      <c r="I166" s="31" t="s">
        <v>1517</v>
      </c>
    </row>
    <row r="167" spans="1:24" s="12" customFormat="1" ht="31.2" customHeight="1" x14ac:dyDescent="0.2">
      <c r="A167" s="30" t="s">
        <v>503</v>
      </c>
      <c r="B167" s="27" t="s">
        <v>504</v>
      </c>
      <c r="C167" s="26">
        <v>2010</v>
      </c>
      <c r="D167" s="26" t="s">
        <v>505</v>
      </c>
      <c r="E167" s="29" t="str">
        <f>HYPERLINK("https://www.lyellcollection.org/toc/sp/335/1")</f>
        <v>https://www.lyellcollection.org/toc/sp/335/1</v>
      </c>
      <c r="F167" s="19" t="s">
        <v>304</v>
      </c>
      <c r="G167" s="31"/>
      <c r="H167" s="31" t="s">
        <v>1516</v>
      </c>
      <c r="I167" s="31" t="s">
        <v>1517</v>
      </c>
    </row>
    <row r="168" spans="1:24" s="12" customFormat="1" ht="31.2" customHeight="1" x14ac:dyDescent="0.2">
      <c r="A168" s="30" t="s">
        <v>506</v>
      </c>
      <c r="B168" s="27" t="s">
        <v>507</v>
      </c>
      <c r="C168" s="26">
        <v>2010</v>
      </c>
      <c r="D168" s="26" t="s">
        <v>508</v>
      </c>
      <c r="E168" s="29" t="str">
        <f>HYPERLINK("https://www.lyellcollection.org/toc/sp/334/1")</f>
        <v>https://www.lyellcollection.org/toc/sp/334/1</v>
      </c>
      <c r="F168" s="19" t="s">
        <v>304</v>
      </c>
      <c r="G168" s="31"/>
      <c r="H168" s="31" t="s">
        <v>1516</v>
      </c>
      <c r="I168" s="31" t="s">
        <v>1517</v>
      </c>
    </row>
    <row r="169" spans="1:24" s="12" customFormat="1" ht="31.2" customHeight="1" x14ac:dyDescent="0.2">
      <c r="A169" s="30" t="s">
        <v>509</v>
      </c>
      <c r="B169" s="27" t="s">
        <v>510</v>
      </c>
      <c r="C169" s="26">
        <v>2010</v>
      </c>
      <c r="D169" s="26" t="s">
        <v>511</v>
      </c>
      <c r="E169" s="29" t="str">
        <f>HYPERLINK("https://www.lyellcollection.org/toc/sp/333/1")</f>
        <v>https://www.lyellcollection.org/toc/sp/333/1</v>
      </c>
      <c r="F169" s="19" t="s">
        <v>304</v>
      </c>
      <c r="G169" s="31"/>
      <c r="H169" s="31" t="s">
        <v>1516</v>
      </c>
      <c r="I169" s="31" t="s">
        <v>1517</v>
      </c>
    </row>
    <row r="170" spans="1:24" s="12" customFormat="1" ht="31.2" customHeight="1" x14ac:dyDescent="0.2">
      <c r="A170" s="30" t="s">
        <v>512</v>
      </c>
      <c r="B170" s="27" t="s">
        <v>513</v>
      </c>
      <c r="C170" s="26">
        <v>2010</v>
      </c>
      <c r="D170" s="17" t="s">
        <v>514</v>
      </c>
      <c r="E170" s="29" t="str">
        <f>HYPERLINK("https://www.lyellcollection.org/toc/sp/332/1")</f>
        <v>https://www.lyellcollection.org/toc/sp/332/1</v>
      </c>
      <c r="F170" s="19" t="s">
        <v>304</v>
      </c>
      <c r="G170" s="31"/>
      <c r="H170" s="31" t="s">
        <v>1516</v>
      </c>
      <c r="I170" s="31" t="s">
        <v>1517</v>
      </c>
    </row>
    <row r="171" spans="1:24" s="12" customFormat="1" ht="31.2" customHeight="1" x14ac:dyDescent="0.2">
      <c r="A171" s="30" t="s">
        <v>515</v>
      </c>
      <c r="B171" s="27" t="s">
        <v>516</v>
      </c>
      <c r="C171" s="26">
        <v>2010</v>
      </c>
      <c r="D171" s="26" t="s">
        <v>517</v>
      </c>
      <c r="E171" s="29" t="str">
        <f>HYPERLINK("https://www.lyellcollection.org/toc/sp/331/1")</f>
        <v>https://www.lyellcollection.org/toc/sp/331/1</v>
      </c>
      <c r="F171" s="19" t="s">
        <v>304</v>
      </c>
      <c r="G171" s="31"/>
      <c r="H171" s="31" t="s">
        <v>1516</v>
      </c>
      <c r="I171" s="31" t="s">
        <v>1517</v>
      </c>
    </row>
    <row r="172" spans="1:24" s="12" customFormat="1" ht="31.2" customHeight="1" x14ac:dyDescent="0.2">
      <c r="A172" s="30" t="s">
        <v>518</v>
      </c>
      <c r="B172" s="27" t="s">
        <v>519</v>
      </c>
      <c r="C172" s="26">
        <v>2010</v>
      </c>
      <c r="D172" s="26" t="s">
        <v>520</v>
      </c>
      <c r="E172" s="29" t="str">
        <f>HYPERLINK("https://www.lyellcollection.org/toc/sp/330/1")</f>
        <v>https://www.lyellcollection.org/toc/sp/330/1</v>
      </c>
      <c r="F172" s="19" t="s">
        <v>304</v>
      </c>
      <c r="G172" s="31"/>
      <c r="H172" s="31" t="s">
        <v>1516</v>
      </c>
      <c r="I172" s="31" t="s">
        <v>1517</v>
      </c>
    </row>
    <row r="173" spans="1:24" s="12" customFormat="1" ht="31.2" customHeight="1" x14ac:dyDescent="0.2">
      <c r="A173" s="30" t="s">
        <v>521</v>
      </c>
      <c r="B173" s="27" t="s">
        <v>522</v>
      </c>
      <c r="C173" s="26">
        <v>2010</v>
      </c>
      <c r="D173" s="26" t="s">
        <v>523</v>
      </c>
      <c r="E173" s="29" t="str">
        <f>HYPERLINK("https://www.lyellcollection.org/toc/sp/329/1")</f>
        <v>https://www.lyellcollection.org/toc/sp/329/1</v>
      </c>
      <c r="F173" s="19" t="s">
        <v>304</v>
      </c>
      <c r="G173" s="31"/>
      <c r="H173" s="31" t="s">
        <v>1516</v>
      </c>
      <c r="I173" s="31" t="s">
        <v>1517</v>
      </c>
    </row>
    <row r="174" spans="1:24" s="12" customFormat="1" ht="31.2" customHeight="1" x14ac:dyDescent="0.2">
      <c r="A174" s="30" t="s">
        <v>524</v>
      </c>
      <c r="B174" s="27" t="s">
        <v>525</v>
      </c>
      <c r="C174" s="26">
        <v>2009</v>
      </c>
      <c r="D174" s="26" t="s">
        <v>526</v>
      </c>
      <c r="E174" s="29" t="str">
        <f>HYPERLINK("https://www.lyellcollection.org/toc/sp/328/1")</f>
        <v>https://www.lyellcollection.org/toc/sp/328/1</v>
      </c>
      <c r="F174" s="19" t="s">
        <v>304</v>
      </c>
      <c r="G174" s="31"/>
      <c r="H174" s="31" t="s">
        <v>1516</v>
      </c>
      <c r="I174" s="31" t="s">
        <v>1517</v>
      </c>
    </row>
    <row r="175" spans="1:24" s="12" customFormat="1" ht="31.2" customHeight="1" x14ac:dyDescent="0.2">
      <c r="A175" s="30" t="s">
        <v>527</v>
      </c>
      <c r="B175" s="27" t="s">
        <v>528</v>
      </c>
      <c r="C175" s="26">
        <v>2009</v>
      </c>
      <c r="D175" s="26" t="s">
        <v>529</v>
      </c>
      <c r="E175" s="29" t="str">
        <f>HYPERLINK("https://www.lyellcollection.org/toc/sp/327/1")</f>
        <v>https://www.lyellcollection.org/toc/sp/327/1</v>
      </c>
      <c r="F175" s="19" t="s">
        <v>304</v>
      </c>
      <c r="G175" s="31"/>
      <c r="H175" s="31" t="s">
        <v>1516</v>
      </c>
      <c r="I175" s="31" t="s">
        <v>1517</v>
      </c>
    </row>
    <row r="176" spans="1:24" s="12" customFormat="1" ht="31.2" customHeight="1" x14ac:dyDescent="0.2">
      <c r="A176" s="30" t="s">
        <v>530</v>
      </c>
      <c r="B176" s="27" t="s">
        <v>531</v>
      </c>
      <c r="C176" s="26">
        <v>2009</v>
      </c>
      <c r="D176" s="26" t="s">
        <v>532</v>
      </c>
      <c r="E176" s="29" t="str">
        <f>HYPERLINK("https://www.lyellcollection.org/toc/sp/326/1")</f>
        <v>https://www.lyellcollection.org/toc/sp/326/1</v>
      </c>
      <c r="F176" s="19" t="s">
        <v>304</v>
      </c>
      <c r="G176" s="31"/>
      <c r="H176" s="31" t="s">
        <v>1516</v>
      </c>
      <c r="I176" s="31" t="s">
        <v>1517</v>
      </c>
    </row>
    <row r="177" spans="1:9" s="12" customFormat="1" ht="31.2" customHeight="1" x14ac:dyDescent="0.2">
      <c r="A177" s="30" t="s">
        <v>533</v>
      </c>
      <c r="B177" s="27" t="s">
        <v>534</v>
      </c>
      <c r="C177" s="26">
        <v>2009</v>
      </c>
      <c r="D177" s="17" t="s">
        <v>535</v>
      </c>
      <c r="E177" s="29" t="str">
        <f>HYPERLINK("https://www.lyellcollection.org/toc/sp/325/1")</f>
        <v>https://www.lyellcollection.org/toc/sp/325/1</v>
      </c>
      <c r="F177" s="19" t="s">
        <v>304</v>
      </c>
      <c r="G177" s="31"/>
      <c r="H177" s="31" t="s">
        <v>1516</v>
      </c>
      <c r="I177" s="31" t="s">
        <v>1517</v>
      </c>
    </row>
    <row r="178" spans="1:9" s="12" customFormat="1" ht="31.2" customHeight="1" x14ac:dyDescent="0.2">
      <c r="A178" s="30" t="s">
        <v>536</v>
      </c>
      <c r="B178" s="27" t="s">
        <v>537</v>
      </c>
      <c r="C178" s="26">
        <v>2009</v>
      </c>
      <c r="D178" s="26" t="s">
        <v>538</v>
      </c>
      <c r="E178" s="29" t="str">
        <f>HYPERLINK("https://www.lyellcollection.org/toc/sp/324/1")</f>
        <v>https://www.lyellcollection.org/toc/sp/324/1</v>
      </c>
      <c r="F178" s="19" t="s">
        <v>304</v>
      </c>
      <c r="G178" s="31"/>
      <c r="H178" s="31" t="s">
        <v>1516</v>
      </c>
      <c r="I178" s="31" t="s">
        <v>1517</v>
      </c>
    </row>
    <row r="179" spans="1:9" s="12" customFormat="1" ht="31.2" customHeight="1" x14ac:dyDescent="0.2">
      <c r="A179" s="30" t="s">
        <v>539</v>
      </c>
      <c r="B179" s="27" t="s">
        <v>540</v>
      </c>
      <c r="C179" s="26">
        <v>2009</v>
      </c>
      <c r="D179" s="26" t="s">
        <v>541</v>
      </c>
      <c r="E179" s="29" t="str">
        <f>HYPERLINK("https://www.lyellcollection.org/toc/sp/323/1")</f>
        <v>https://www.lyellcollection.org/toc/sp/323/1</v>
      </c>
      <c r="F179" s="19" t="s">
        <v>304</v>
      </c>
      <c r="G179" s="31"/>
      <c r="H179" s="31" t="s">
        <v>1516</v>
      </c>
      <c r="I179" s="31" t="s">
        <v>1517</v>
      </c>
    </row>
    <row r="180" spans="1:9" s="12" customFormat="1" ht="31.2" customHeight="1" x14ac:dyDescent="0.2">
      <c r="A180" s="30" t="s">
        <v>542</v>
      </c>
      <c r="B180" s="27" t="s">
        <v>543</v>
      </c>
      <c r="C180" s="26">
        <v>2009</v>
      </c>
      <c r="D180" s="26" t="s">
        <v>544</v>
      </c>
      <c r="E180" s="29" t="str">
        <f>HYPERLINK("https://www.lyellcollection.org/toc/sp/322/1")</f>
        <v>https://www.lyellcollection.org/toc/sp/322/1</v>
      </c>
      <c r="F180" s="19" t="s">
        <v>304</v>
      </c>
      <c r="G180" s="31"/>
      <c r="H180" s="31" t="s">
        <v>1516</v>
      </c>
      <c r="I180" s="31" t="s">
        <v>1517</v>
      </c>
    </row>
    <row r="181" spans="1:9" s="12" customFormat="1" ht="31.2" customHeight="1" x14ac:dyDescent="0.2">
      <c r="A181" s="30" t="s">
        <v>545</v>
      </c>
      <c r="B181" s="27" t="s">
        <v>546</v>
      </c>
      <c r="C181" s="26">
        <v>2009</v>
      </c>
      <c r="D181" s="26" t="s">
        <v>547</v>
      </c>
      <c r="E181" s="29" t="str">
        <f>HYPERLINK("https://www.lyellcollection.org/toc/sp/321/1")</f>
        <v>https://www.lyellcollection.org/toc/sp/321/1</v>
      </c>
      <c r="F181" s="19" t="s">
        <v>304</v>
      </c>
      <c r="G181" s="31"/>
      <c r="H181" s="31" t="s">
        <v>1516</v>
      </c>
      <c r="I181" s="31" t="s">
        <v>1517</v>
      </c>
    </row>
    <row r="182" spans="1:9" s="12" customFormat="1" ht="31.2" customHeight="1" x14ac:dyDescent="0.2">
      <c r="A182" s="30" t="s">
        <v>548</v>
      </c>
      <c r="B182" s="27" t="s">
        <v>549</v>
      </c>
      <c r="C182" s="26">
        <v>2009</v>
      </c>
      <c r="D182" s="26" t="s">
        <v>550</v>
      </c>
      <c r="E182" s="29" t="str">
        <f>HYPERLINK("https://www.lyellcollection.org/toc/sp/320/1")</f>
        <v>https://www.lyellcollection.org/toc/sp/320/1</v>
      </c>
      <c r="F182" s="19" t="s">
        <v>304</v>
      </c>
      <c r="G182" s="31"/>
      <c r="H182" s="31" t="s">
        <v>1516</v>
      </c>
      <c r="I182" s="31" t="s">
        <v>1517</v>
      </c>
    </row>
    <row r="183" spans="1:9" s="12" customFormat="1" ht="31.2" customHeight="1" x14ac:dyDescent="0.2">
      <c r="A183" s="30" t="s">
        <v>551</v>
      </c>
      <c r="B183" s="27" t="s">
        <v>552</v>
      </c>
      <c r="C183" s="26">
        <v>2009</v>
      </c>
      <c r="D183" s="17" t="s">
        <v>553</v>
      </c>
      <c r="E183" s="29" t="str">
        <f>HYPERLINK("https://www.lyellcollection.org/toc/sp/319/1")</f>
        <v>https://www.lyellcollection.org/toc/sp/319/1</v>
      </c>
      <c r="F183" s="19" t="s">
        <v>304</v>
      </c>
      <c r="G183" s="31"/>
      <c r="H183" s="31" t="s">
        <v>1516</v>
      </c>
      <c r="I183" s="31" t="s">
        <v>1517</v>
      </c>
    </row>
    <row r="184" spans="1:9" s="12" customFormat="1" ht="31.2" customHeight="1" x14ac:dyDescent="0.2">
      <c r="A184" s="30" t="s">
        <v>554</v>
      </c>
      <c r="B184" s="27" t="s">
        <v>555</v>
      </c>
      <c r="C184" s="26">
        <v>2009</v>
      </c>
      <c r="D184" s="26" t="s">
        <v>556</v>
      </c>
      <c r="E184" s="29" t="str">
        <f>HYPERLINK("https://www.lyellcollection.org/toc/sp/318/1")</f>
        <v>https://www.lyellcollection.org/toc/sp/318/1</v>
      </c>
      <c r="F184" s="19" t="s">
        <v>304</v>
      </c>
      <c r="G184" s="31"/>
      <c r="H184" s="31" t="s">
        <v>1516</v>
      </c>
      <c r="I184" s="31" t="s">
        <v>1517</v>
      </c>
    </row>
    <row r="185" spans="1:9" s="12" customFormat="1" ht="31.2" customHeight="1" x14ac:dyDescent="0.2">
      <c r="A185" s="30" t="s">
        <v>557</v>
      </c>
      <c r="B185" s="27" t="s">
        <v>558</v>
      </c>
      <c r="C185" s="26">
        <v>2009</v>
      </c>
      <c r="D185" s="17" t="s">
        <v>559</v>
      </c>
      <c r="E185" s="29" t="str">
        <f>HYPERLINK("https://www.lyellcollection.org/toc/sp/317/1")</f>
        <v>https://www.lyellcollection.org/toc/sp/317/1</v>
      </c>
      <c r="F185" s="19" t="s">
        <v>304</v>
      </c>
      <c r="G185" s="31"/>
      <c r="H185" s="31" t="s">
        <v>1516</v>
      </c>
      <c r="I185" s="31" t="s">
        <v>1517</v>
      </c>
    </row>
    <row r="186" spans="1:9" s="12" customFormat="1" ht="31.2" customHeight="1" x14ac:dyDescent="0.2">
      <c r="A186" s="30" t="s">
        <v>560</v>
      </c>
      <c r="B186" s="27" t="s">
        <v>561</v>
      </c>
      <c r="C186" s="26">
        <v>2009</v>
      </c>
      <c r="D186" s="26" t="s">
        <v>562</v>
      </c>
      <c r="E186" s="29" t="str">
        <f>HYPERLINK("https://www.lyellcollection.org/toc/sp/316/1")</f>
        <v>https://www.lyellcollection.org/toc/sp/316/1</v>
      </c>
      <c r="F186" s="19" t="s">
        <v>304</v>
      </c>
      <c r="G186" s="31"/>
      <c r="H186" s="31" t="s">
        <v>1516</v>
      </c>
      <c r="I186" s="31" t="s">
        <v>1517</v>
      </c>
    </row>
    <row r="187" spans="1:9" s="12" customFormat="1" ht="31.2" customHeight="1" x14ac:dyDescent="0.2">
      <c r="A187" s="30" t="s">
        <v>563</v>
      </c>
      <c r="B187" s="27" t="s">
        <v>564</v>
      </c>
      <c r="C187" s="26">
        <v>2009</v>
      </c>
      <c r="D187" s="26" t="s">
        <v>565</v>
      </c>
      <c r="E187" s="29" t="str">
        <f>HYPERLINK("https://www.lyellcollection.org/toc/sp/315/1")</f>
        <v>https://www.lyellcollection.org/toc/sp/315/1</v>
      </c>
      <c r="F187" s="19" t="s">
        <v>304</v>
      </c>
      <c r="G187" s="31"/>
      <c r="H187" s="31" t="s">
        <v>1516</v>
      </c>
      <c r="I187" s="31" t="s">
        <v>1517</v>
      </c>
    </row>
    <row r="188" spans="1:9" s="12" customFormat="1" ht="31.2" customHeight="1" x14ac:dyDescent="0.2">
      <c r="A188" s="30" t="s">
        <v>566</v>
      </c>
      <c r="B188" s="27" t="s">
        <v>567</v>
      </c>
      <c r="C188" s="26">
        <v>2009</v>
      </c>
      <c r="D188" s="26" t="s">
        <v>568</v>
      </c>
      <c r="E188" s="29" t="str">
        <f>HYPERLINK("https://www.lyellcollection.org/toc/sp/314/1")</f>
        <v>https://www.lyellcollection.org/toc/sp/314/1</v>
      </c>
      <c r="F188" s="19" t="s">
        <v>304</v>
      </c>
      <c r="G188" s="31"/>
      <c r="H188" s="31" t="s">
        <v>1516</v>
      </c>
      <c r="I188" s="31" t="s">
        <v>1517</v>
      </c>
    </row>
    <row r="189" spans="1:9" s="12" customFormat="1" ht="31.2" customHeight="1" x14ac:dyDescent="0.2">
      <c r="A189" s="30" t="s">
        <v>569</v>
      </c>
      <c r="B189" s="27" t="s">
        <v>570</v>
      </c>
      <c r="C189" s="26">
        <v>2009</v>
      </c>
      <c r="D189" s="17" t="s">
        <v>571</v>
      </c>
      <c r="E189" s="29" t="str">
        <f>HYPERLINK("https://www.lyellcollection.org/toc/sp/313/1")</f>
        <v>https://www.lyellcollection.org/toc/sp/313/1</v>
      </c>
      <c r="F189" s="19" t="s">
        <v>304</v>
      </c>
      <c r="G189" s="31"/>
      <c r="H189" s="31" t="s">
        <v>1516</v>
      </c>
      <c r="I189" s="31" t="s">
        <v>1517</v>
      </c>
    </row>
    <row r="190" spans="1:9" s="12" customFormat="1" ht="31.2" customHeight="1" x14ac:dyDescent="0.2">
      <c r="A190" s="39" t="s">
        <v>572</v>
      </c>
      <c r="B190" s="27" t="s">
        <v>573</v>
      </c>
      <c r="C190" s="26">
        <v>2009</v>
      </c>
      <c r="D190" s="38" t="s">
        <v>574</v>
      </c>
      <c r="E190" s="29" t="str">
        <f>HYPERLINK("https://www.lyellcollection.org/toc/sp/312/1")</f>
        <v>https://www.lyellcollection.org/toc/sp/312/1</v>
      </c>
      <c r="F190" s="19" t="s">
        <v>304</v>
      </c>
      <c r="G190" s="31"/>
      <c r="H190" s="31" t="s">
        <v>1516</v>
      </c>
      <c r="I190" s="31" t="s">
        <v>1517</v>
      </c>
    </row>
    <row r="191" spans="1:9" s="12" customFormat="1" ht="31.2" customHeight="1" x14ac:dyDescent="0.2">
      <c r="A191" s="30" t="s">
        <v>575</v>
      </c>
      <c r="B191" s="27" t="s">
        <v>576</v>
      </c>
      <c r="C191" s="26">
        <v>2009</v>
      </c>
      <c r="D191" s="38" t="s">
        <v>577</v>
      </c>
      <c r="E191" s="29" t="str">
        <f>HYPERLINK("https://www.lyellcollection.org/toc/sp/311/1")</f>
        <v>https://www.lyellcollection.org/toc/sp/311/1</v>
      </c>
      <c r="F191" s="19" t="s">
        <v>304</v>
      </c>
      <c r="G191" s="31"/>
      <c r="H191" s="31" t="s">
        <v>1516</v>
      </c>
      <c r="I191" s="31" t="s">
        <v>1517</v>
      </c>
    </row>
    <row r="192" spans="1:9" s="12" customFormat="1" ht="31.2" customHeight="1" x14ac:dyDescent="0.2">
      <c r="A192" s="39" t="s">
        <v>578</v>
      </c>
      <c r="B192" s="27" t="s">
        <v>579</v>
      </c>
      <c r="C192" s="26">
        <v>2009</v>
      </c>
      <c r="D192" s="38" t="s">
        <v>580</v>
      </c>
      <c r="E192" s="29" t="str">
        <f>HYPERLINK("https://www.lyellcollection.org/toc/sp/310/1")</f>
        <v>https://www.lyellcollection.org/toc/sp/310/1</v>
      </c>
      <c r="F192" s="19" t="s">
        <v>304</v>
      </c>
      <c r="G192" s="31"/>
      <c r="H192" s="31" t="s">
        <v>1516</v>
      </c>
      <c r="I192" s="31" t="s">
        <v>1517</v>
      </c>
    </row>
    <row r="193" spans="1:9" s="12" customFormat="1" ht="31.2" customHeight="1" x14ac:dyDescent="0.2">
      <c r="A193" s="30" t="s">
        <v>581</v>
      </c>
      <c r="B193" s="27" t="s">
        <v>582</v>
      </c>
      <c r="C193" s="26">
        <v>2008</v>
      </c>
      <c r="D193" s="17" t="s">
        <v>583</v>
      </c>
      <c r="E193" s="29" t="str">
        <f>HYPERLINK("https://www.lyellcollection.org/toc/sp/309/1")</f>
        <v>https://www.lyellcollection.org/toc/sp/309/1</v>
      </c>
      <c r="F193" s="19" t="s">
        <v>304</v>
      </c>
      <c r="G193" s="31"/>
      <c r="H193" s="31" t="s">
        <v>1516</v>
      </c>
      <c r="I193" s="31" t="s">
        <v>1517</v>
      </c>
    </row>
    <row r="194" spans="1:9" s="12" customFormat="1" ht="31.2" customHeight="1" x14ac:dyDescent="0.2">
      <c r="A194" s="39" t="s">
        <v>584</v>
      </c>
      <c r="B194" s="40" t="s">
        <v>585</v>
      </c>
      <c r="C194" s="26">
        <v>2008</v>
      </c>
      <c r="D194" s="41" t="s">
        <v>586</v>
      </c>
      <c r="E194" s="29" t="str">
        <f>HYPERLINK("https://www.lyellcollection.org/toc/sp/308/1")</f>
        <v>https://www.lyellcollection.org/toc/sp/308/1</v>
      </c>
      <c r="F194" s="19" t="s">
        <v>304</v>
      </c>
      <c r="G194" s="31"/>
      <c r="H194" s="31" t="s">
        <v>1516</v>
      </c>
      <c r="I194" s="31" t="s">
        <v>1517</v>
      </c>
    </row>
    <row r="195" spans="1:9" s="12" customFormat="1" ht="31.2" customHeight="1" x14ac:dyDescent="0.2">
      <c r="A195" s="39" t="s">
        <v>587</v>
      </c>
      <c r="B195" s="40" t="s">
        <v>588</v>
      </c>
      <c r="C195" s="26">
        <v>2008</v>
      </c>
      <c r="D195" s="41" t="s">
        <v>589</v>
      </c>
      <c r="E195" s="29" t="str">
        <f>HYPERLINK("https://www.lyellcollection.org/toc/sp/307/1")</f>
        <v>https://www.lyellcollection.org/toc/sp/307/1</v>
      </c>
      <c r="F195" s="19" t="s">
        <v>304</v>
      </c>
      <c r="G195" s="31"/>
      <c r="H195" s="31" t="s">
        <v>1516</v>
      </c>
      <c r="I195" s="31" t="s">
        <v>1517</v>
      </c>
    </row>
    <row r="196" spans="1:9" s="12" customFormat="1" ht="31.2" customHeight="1" x14ac:dyDescent="0.2">
      <c r="A196" s="39" t="s">
        <v>590</v>
      </c>
      <c r="B196" s="40" t="s">
        <v>591</v>
      </c>
      <c r="C196" s="26">
        <v>2008</v>
      </c>
      <c r="D196" s="41" t="s">
        <v>592</v>
      </c>
      <c r="E196" s="29" t="str">
        <f>HYPERLINK("https://www.lyellcollection.org/toc/sp/306/1")</f>
        <v>https://www.lyellcollection.org/toc/sp/306/1</v>
      </c>
      <c r="F196" s="19" t="s">
        <v>304</v>
      </c>
      <c r="G196" s="31"/>
      <c r="H196" s="31" t="s">
        <v>1516</v>
      </c>
      <c r="I196" s="31" t="s">
        <v>1517</v>
      </c>
    </row>
    <row r="197" spans="1:9" s="12" customFormat="1" ht="31.2" customHeight="1" x14ac:dyDescent="0.2">
      <c r="A197" s="39" t="s">
        <v>593</v>
      </c>
      <c r="B197" s="40" t="s">
        <v>594</v>
      </c>
      <c r="C197" s="26">
        <v>2008</v>
      </c>
      <c r="D197" s="41" t="s">
        <v>595</v>
      </c>
      <c r="E197" s="29" t="str">
        <f>HYPERLINK("https://www.lyellcollection.org/toc/sp/305/1")</f>
        <v>https://www.lyellcollection.org/toc/sp/305/1</v>
      </c>
      <c r="F197" s="19" t="s">
        <v>304</v>
      </c>
      <c r="G197" s="31"/>
      <c r="H197" s="31" t="s">
        <v>1516</v>
      </c>
      <c r="I197" s="31" t="s">
        <v>1517</v>
      </c>
    </row>
    <row r="198" spans="1:9" s="12" customFormat="1" ht="31.2" customHeight="1" x14ac:dyDescent="0.2">
      <c r="A198" s="39" t="s">
        <v>596</v>
      </c>
      <c r="B198" s="40" t="s">
        <v>597</v>
      </c>
      <c r="C198" s="26">
        <v>2008</v>
      </c>
      <c r="D198" s="41" t="s">
        <v>598</v>
      </c>
      <c r="E198" s="29" t="str">
        <f>HYPERLINK("https://www.lyellcollection.org/toc/sp/304/1")</f>
        <v>https://www.lyellcollection.org/toc/sp/304/1</v>
      </c>
      <c r="F198" s="19" t="s">
        <v>304</v>
      </c>
      <c r="G198" s="31"/>
      <c r="H198" s="31" t="s">
        <v>1516</v>
      </c>
      <c r="I198" s="31" t="s">
        <v>1517</v>
      </c>
    </row>
    <row r="199" spans="1:9" s="12" customFormat="1" ht="31.2" customHeight="1" x14ac:dyDescent="0.2">
      <c r="A199" s="39" t="s">
        <v>599</v>
      </c>
      <c r="B199" s="40" t="s">
        <v>600</v>
      </c>
      <c r="C199" s="26">
        <v>2008</v>
      </c>
      <c r="D199" s="41" t="s">
        <v>601</v>
      </c>
      <c r="E199" s="29" t="str">
        <f>HYPERLINK("https://www.lyellcollection.org/toc/sp/303/1")</f>
        <v>https://www.lyellcollection.org/toc/sp/303/1</v>
      </c>
      <c r="F199" s="19" t="s">
        <v>304</v>
      </c>
      <c r="G199" s="31"/>
      <c r="H199" s="31" t="s">
        <v>1516</v>
      </c>
      <c r="I199" s="31" t="s">
        <v>1517</v>
      </c>
    </row>
    <row r="200" spans="1:9" s="12" customFormat="1" ht="31.2" customHeight="1" x14ac:dyDescent="0.2">
      <c r="A200" s="39" t="s">
        <v>602</v>
      </c>
      <c r="B200" s="40" t="s">
        <v>603</v>
      </c>
      <c r="C200" s="26">
        <v>2008</v>
      </c>
      <c r="D200" s="41" t="s">
        <v>604</v>
      </c>
      <c r="E200" s="29" t="str">
        <f>HYPERLINK("https://www.lyellcollection.org/toc/sp/302/1")</f>
        <v>https://www.lyellcollection.org/toc/sp/302/1</v>
      </c>
      <c r="F200" s="19" t="s">
        <v>304</v>
      </c>
      <c r="G200" s="31"/>
      <c r="H200" s="31" t="s">
        <v>1516</v>
      </c>
      <c r="I200" s="31" t="s">
        <v>1517</v>
      </c>
    </row>
    <row r="201" spans="1:9" s="12" customFormat="1" ht="31.2" customHeight="1" x14ac:dyDescent="0.2">
      <c r="A201" s="39" t="s">
        <v>605</v>
      </c>
      <c r="B201" s="40" t="s">
        <v>606</v>
      </c>
      <c r="C201" s="26">
        <v>2008</v>
      </c>
      <c r="D201" s="41" t="s">
        <v>607</v>
      </c>
      <c r="E201" s="29" t="str">
        <f>HYPERLINK("https://www.lyellcollection.org/toc/sp/301/1")</f>
        <v>https://www.lyellcollection.org/toc/sp/301/1</v>
      </c>
      <c r="F201" s="19" t="s">
        <v>304</v>
      </c>
      <c r="G201" s="31"/>
      <c r="H201" s="31" t="s">
        <v>1516</v>
      </c>
      <c r="I201" s="31" t="s">
        <v>1517</v>
      </c>
    </row>
    <row r="202" spans="1:9" s="12" customFormat="1" ht="31.2" customHeight="1" x14ac:dyDescent="0.2">
      <c r="A202" s="39" t="s">
        <v>608</v>
      </c>
      <c r="B202" s="40" t="s">
        <v>609</v>
      </c>
      <c r="C202" s="26">
        <v>2008</v>
      </c>
      <c r="D202" s="41" t="s">
        <v>610</v>
      </c>
      <c r="E202" s="29" t="str">
        <f>HYPERLINK("https://www.lyellcollection.org/toc/sp/300/1")</f>
        <v>https://www.lyellcollection.org/toc/sp/300/1</v>
      </c>
      <c r="F202" s="19" t="s">
        <v>611</v>
      </c>
      <c r="G202" s="31" t="s">
        <v>1515</v>
      </c>
      <c r="H202" s="31" t="s">
        <v>1516</v>
      </c>
      <c r="I202" s="31" t="s">
        <v>1517</v>
      </c>
    </row>
    <row r="203" spans="1:9" s="12" customFormat="1" ht="31.2" customHeight="1" x14ac:dyDescent="0.2">
      <c r="A203" s="39" t="s">
        <v>612</v>
      </c>
      <c r="B203" s="40" t="s">
        <v>613</v>
      </c>
      <c r="C203" s="26">
        <v>2008</v>
      </c>
      <c r="D203" s="41" t="s">
        <v>614</v>
      </c>
      <c r="E203" s="29" t="str">
        <f>HYPERLINK("https://www.lyellcollection.org/toc/sp/299/1")</f>
        <v>https://www.lyellcollection.org/toc/sp/299/1</v>
      </c>
      <c r="F203" s="19" t="s">
        <v>611</v>
      </c>
      <c r="G203" s="31" t="s">
        <v>1515</v>
      </c>
      <c r="H203" s="31" t="s">
        <v>1516</v>
      </c>
      <c r="I203" s="31" t="s">
        <v>1517</v>
      </c>
    </row>
    <row r="204" spans="1:9" s="12" customFormat="1" ht="31.2" customHeight="1" x14ac:dyDescent="0.2">
      <c r="A204" s="39" t="s">
        <v>615</v>
      </c>
      <c r="B204" s="40" t="s">
        <v>616</v>
      </c>
      <c r="C204" s="26">
        <v>2008</v>
      </c>
      <c r="D204" s="41" t="s">
        <v>617</v>
      </c>
      <c r="E204" s="29" t="str">
        <f>HYPERLINK("https://www.lyellcollection.org/toc/sp/298/1")</f>
        <v>https://www.lyellcollection.org/toc/sp/298/1</v>
      </c>
      <c r="F204" s="19" t="s">
        <v>611</v>
      </c>
      <c r="G204" s="31" t="s">
        <v>1515</v>
      </c>
      <c r="H204" s="31" t="s">
        <v>1516</v>
      </c>
      <c r="I204" s="31" t="s">
        <v>1517</v>
      </c>
    </row>
    <row r="205" spans="1:9" s="12" customFormat="1" ht="31.2" customHeight="1" x14ac:dyDescent="0.2">
      <c r="A205" s="39" t="s">
        <v>618</v>
      </c>
      <c r="B205" s="40" t="s">
        <v>619</v>
      </c>
      <c r="C205" s="26">
        <v>2008</v>
      </c>
      <c r="D205" s="41" t="s">
        <v>620</v>
      </c>
      <c r="E205" s="29" t="str">
        <f>HYPERLINK("https://www.lyellcollection.org/toc/sp/297/1")</f>
        <v>https://www.lyellcollection.org/toc/sp/297/1</v>
      </c>
      <c r="F205" s="19" t="s">
        <v>611</v>
      </c>
      <c r="G205" s="31" t="s">
        <v>1515</v>
      </c>
      <c r="H205" s="31" t="s">
        <v>1516</v>
      </c>
      <c r="I205" s="31" t="s">
        <v>1517</v>
      </c>
    </row>
    <row r="206" spans="1:9" s="12" customFormat="1" ht="31.2" customHeight="1" x14ac:dyDescent="0.2">
      <c r="A206" s="30" t="s">
        <v>621</v>
      </c>
      <c r="B206" s="33" t="s">
        <v>622</v>
      </c>
      <c r="C206" s="26">
        <v>2008</v>
      </c>
      <c r="D206" s="38" t="s">
        <v>623</v>
      </c>
      <c r="E206" s="29" t="str">
        <f>HYPERLINK("https://www.lyellcollection.org/toc/sp/296/1")</f>
        <v>https://www.lyellcollection.org/toc/sp/296/1</v>
      </c>
      <c r="F206" s="19" t="s">
        <v>611</v>
      </c>
      <c r="G206" s="31" t="s">
        <v>1515</v>
      </c>
      <c r="H206" s="31" t="s">
        <v>1516</v>
      </c>
      <c r="I206" s="31" t="s">
        <v>1517</v>
      </c>
    </row>
    <row r="207" spans="1:9" s="12" customFormat="1" ht="31.2" customHeight="1" x14ac:dyDescent="0.2">
      <c r="A207" s="30" t="s">
        <v>624</v>
      </c>
      <c r="B207" s="27" t="s">
        <v>625</v>
      </c>
      <c r="C207" s="26">
        <v>2008</v>
      </c>
      <c r="D207" s="38" t="s">
        <v>626</v>
      </c>
      <c r="E207" s="29" t="str">
        <f>HYPERLINK("https://www.lyellcollection.org/toc/sp/295/1")</f>
        <v>https://www.lyellcollection.org/toc/sp/295/1</v>
      </c>
      <c r="F207" s="19" t="s">
        <v>611</v>
      </c>
      <c r="G207" s="31" t="s">
        <v>1515</v>
      </c>
      <c r="H207" s="31" t="s">
        <v>1516</v>
      </c>
      <c r="I207" s="31" t="s">
        <v>1517</v>
      </c>
    </row>
    <row r="208" spans="1:9" s="12" customFormat="1" ht="31.2" customHeight="1" x14ac:dyDescent="0.2">
      <c r="A208" s="30" t="s">
        <v>627</v>
      </c>
      <c r="B208" s="27" t="s">
        <v>628</v>
      </c>
      <c r="C208" s="26">
        <v>2008</v>
      </c>
      <c r="D208" s="38" t="s">
        <v>629</v>
      </c>
      <c r="E208" s="29" t="str">
        <f>HYPERLINK("https://www.lyellcollection.org/toc/sp/294/1")</f>
        <v>https://www.lyellcollection.org/toc/sp/294/1</v>
      </c>
      <c r="F208" s="19" t="s">
        <v>611</v>
      </c>
      <c r="G208" s="31" t="s">
        <v>1515</v>
      </c>
      <c r="H208" s="31" t="s">
        <v>1516</v>
      </c>
      <c r="I208" s="31" t="s">
        <v>1517</v>
      </c>
    </row>
    <row r="209" spans="1:9" s="12" customFormat="1" ht="31.2" customHeight="1" x14ac:dyDescent="0.2">
      <c r="A209" s="30" t="s">
        <v>630</v>
      </c>
      <c r="B209" s="27" t="s">
        <v>631</v>
      </c>
      <c r="C209" s="26">
        <v>2008</v>
      </c>
      <c r="D209" s="38" t="s">
        <v>632</v>
      </c>
      <c r="E209" s="29" t="str">
        <f>HYPERLINK("https://www.lyellcollection.org/toc/sp/293/1")</f>
        <v>https://www.lyellcollection.org/toc/sp/293/1</v>
      </c>
      <c r="F209" s="19" t="s">
        <v>611</v>
      </c>
      <c r="G209" s="31" t="s">
        <v>1515</v>
      </c>
      <c r="H209" s="31" t="s">
        <v>1516</v>
      </c>
      <c r="I209" s="31" t="s">
        <v>1517</v>
      </c>
    </row>
    <row r="210" spans="1:9" s="12" customFormat="1" ht="31.2" customHeight="1" x14ac:dyDescent="0.2">
      <c r="A210" s="30" t="s">
        <v>636</v>
      </c>
      <c r="B210" s="27" t="s">
        <v>637</v>
      </c>
      <c r="C210" s="26">
        <v>2007</v>
      </c>
      <c r="D210" s="38" t="s">
        <v>638</v>
      </c>
      <c r="E210" s="29" t="str">
        <f>HYPERLINK("https://www.lyellcollection.org/toc/sp/292/1")</f>
        <v>https://www.lyellcollection.org/toc/sp/292/1</v>
      </c>
      <c r="F210" s="19" t="s">
        <v>611</v>
      </c>
      <c r="G210" s="31" t="s">
        <v>1515</v>
      </c>
      <c r="H210" s="31" t="s">
        <v>1516</v>
      </c>
      <c r="I210" s="31" t="s">
        <v>1517</v>
      </c>
    </row>
    <row r="211" spans="1:9" s="12" customFormat="1" ht="31.2" customHeight="1" x14ac:dyDescent="0.2">
      <c r="A211" s="30" t="s">
        <v>639</v>
      </c>
      <c r="B211" s="27" t="s">
        <v>640</v>
      </c>
      <c r="C211" s="26">
        <v>2007</v>
      </c>
      <c r="D211" s="38" t="s">
        <v>641</v>
      </c>
      <c r="E211" s="29" t="str">
        <f>HYPERLINK("https://www.lyellcollection.org/toc/sp/291/1")</f>
        <v>https://www.lyellcollection.org/toc/sp/291/1</v>
      </c>
      <c r="F211" s="19" t="s">
        <v>611</v>
      </c>
      <c r="G211" s="31" t="s">
        <v>1515</v>
      </c>
      <c r="H211" s="31" t="s">
        <v>1516</v>
      </c>
      <c r="I211" s="31" t="s">
        <v>1517</v>
      </c>
    </row>
    <row r="212" spans="1:9" s="12" customFormat="1" ht="31.2" customHeight="1" x14ac:dyDescent="0.2">
      <c r="A212" s="30" t="s">
        <v>642</v>
      </c>
      <c r="B212" s="27" t="s">
        <v>643</v>
      </c>
      <c r="C212" s="26">
        <v>2007</v>
      </c>
      <c r="D212" s="38" t="s">
        <v>644</v>
      </c>
      <c r="E212" s="29" t="str">
        <f>HYPERLINK("https://www.lyellcollection.org/toc/sp/290/1")</f>
        <v>https://www.lyellcollection.org/toc/sp/290/1</v>
      </c>
      <c r="F212" s="19" t="s">
        <v>611</v>
      </c>
      <c r="G212" s="31" t="s">
        <v>1515</v>
      </c>
      <c r="H212" s="31" t="s">
        <v>1516</v>
      </c>
      <c r="I212" s="31" t="s">
        <v>1517</v>
      </c>
    </row>
    <row r="213" spans="1:9" s="12" customFormat="1" ht="31.2" customHeight="1" x14ac:dyDescent="0.2">
      <c r="A213" s="30" t="s">
        <v>645</v>
      </c>
      <c r="B213" s="27" t="s">
        <v>646</v>
      </c>
      <c r="C213" s="26">
        <v>2007</v>
      </c>
      <c r="D213" s="26" t="s">
        <v>647</v>
      </c>
      <c r="E213" s="29" t="str">
        <f>HYPERLINK("https://www.lyellcollection.org/toc/sp/289/1")</f>
        <v>https://www.lyellcollection.org/toc/sp/289/1</v>
      </c>
      <c r="F213" s="19" t="s">
        <v>611</v>
      </c>
      <c r="G213" s="31" t="s">
        <v>1515</v>
      </c>
      <c r="H213" s="31" t="s">
        <v>1516</v>
      </c>
      <c r="I213" s="31" t="s">
        <v>1517</v>
      </c>
    </row>
    <row r="214" spans="1:9" s="12" customFormat="1" ht="31.2" customHeight="1" x14ac:dyDescent="0.2">
      <c r="A214" s="30" t="s">
        <v>633</v>
      </c>
      <c r="B214" s="27" t="s">
        <v>634</v>
      </c>
      <c r="C214" s="26">
        <v>2008</v>
      </c>
      <c r="D214" s="38" t="s">
        <v>635</v>
      </c>
      <c r="E214" s="29" t="str">
        <f>HYPERLINK("https://www.lyellcollection.org/toc/sp/288/1")</f>
        <v>https://www.lyellcollection.org/toc/sp/288/1</v>
      </c>
      <c r="F214" s="19" t="s">
        <v>611</v>
      </c>
      <c r="G214" s="31" t="s">
        <v>1515</v>
      </c>
      <c r="H214" s="31" t="s">
        <v>1516</v>
      </c>
      <c r="I214" s="31" t="s">
        <v>1517</v>
      </c>
    </row>
    <row r="215" spans="1:9" s="12" customFormat="1" ht="31.2" customHeight="1" x14ac:dyDescent="0.2">
      <c r="A215" s="30" t="s">
        <v>648</v>
      </c>
      <c r="B215" s="27" t="s">
        <v>649</v>
      </c>
      <c r="C215" s="26">
        <v>2007</v>
      </c>
      <c r="D215" s="26" t="s">
        <v>650</v>
      </c>
      <c r="E215" s="29" t="str">
        <f>HYPERLINK("https://www.lyellcollection.org/toc/sp/287/1")</f>
        <v>https://www.lyellcollection.org/toc/sp/287/1</v>
      </c>
      <c r="F215" s="19" t="s">
        <v>611</v>
      </c>
      <c r="G215" s="31" t="s">
        <v>1515</v>
      </c>
      <c r="H215" s="31" t="s">
        <v>1516</v>
      </c>
      <c r="I215" s="31" t="s">
        <v>1517</v>
      </c>
    </row>
    <row r="216" spans="1:9" s="12" customFormat="1" ht="31.2" customHeight="1" x14ac:dyDescent="0.2">
      <c r="A216" s="30" t="s">
        <v>651</v>
      </c>
      <c r="B216" s="27" t="s">
        <v>652</v>
      </c>
      <c r="C216" s="26">
        <v>2007</v>
      </c>
      <c r="D216" s="26" t="s">
        <v>653</v>
      </c>
      <c r="E216" s="29" t="str">
        <f>HYPERLINK("https://www.lyellcollection.org/toc/sp/286/1")</f>
        <v>https://www.lyellcollection.org/toc/sp/286/1</v>
      </c>
      <c r="F216" s="19" t="s">
        <v>611</v>
      </c>
      <c r="G216" s="31" t="s">
        <v>1515</v>
      </c>
      <c r="H216" s="31" t="s">
        <v>1516</v>
      </c>
      <c r="I216" s="31" t="s">
        <v>1517</v>
      </c>
    </row>
    <row r="217" spans="1:9" s="12" customFormat="1" ht="31.2" customHeight="1" x14ac:dyDescent="0.2">
      <c r="A217" s="30" t="s">
        <v>654</v>
      </c>
      <c r="B217" s="27" t="s">
        <v>655</v>
      </c>
      <c r="C217" s="26">
        <v>2007</v>
      </c>
      <c r="D217" s="26" t="s">
        <v>656</v>
      </c>
      <c r="E217" s="29" t="str">
        <f>HYPERLINK("https://www.lyellcollection.org/toc/sp/285/1")</f>
        <v>https://www.lyellcollection.org/toc/sp/285/1</v>
      </c>
      <c r="F217" s="19" t="s">
        <v>611</v>
      </c>
      <c r="G217" s="31" t="s">
        <v>1515</v>
      </c>
      <c r="H217" s="31" t="s">
        <v>1516</v>
      </c>
      <c r="I217" s="31" t="s">
        <v>1517</v>
      </c>
    </row>
    <row r="218" spans="1:9" s="12" customFormat="1" ht="31.2" customHeight="1" x14ac:dyDescent="0.2">
      <c r="A218" s="30" t="s">
        <v>657</v>
      </c>
      <c r="B218" s="27" t="s">
        <v>658</v>
      </c>
      <c r="C218" s="26">
        <v>2007</v>
      </c>
      <c r="D218" s="26" t="s">
        <v>659</v>
      </c>
      <c r="E218" s="29" t="str">
        <f>HYPERLINK("https://www.lyellcollection.org/toc/sp/284/1")</f>
        <v>https://www.lyellcollection.org/toc/sp/284/1</v>
      </c>
      <c r="F218" s="19" t="s">
        <v>611</v>
      </c>
      <c r="G218" s="31" t="s">
        <v>1515</v>
      </c>
      <c r="H218" s="31" t="s">
        <v>1516</v>
      </c>
      <c r="I218" s="31" t="s">
        <v>1517</v>
      </c>
    </row>
    <row r="219" spans="1:9" s="12" customFormat="1" ht="31.2" customHeight="1" x14ac:dyDescent="0.2">
      <c r="A219" s="30" t="s">
        <v>660</v>
      </c>
      <c r="B219" s="27" t="s">
        <v>661</v>
      </c>
      <c r="C219" s="26">
        <v>2007</v>
      </c>
      <c r="D219" s="26" t="s">
        <v>662</v>
      </c>
      <c r="E219" s="29" t="str">
        <f>HYPERLINK("https://www.lyellcollection.org/toc/sp/283/1")</f>
        <v>https://www.lyellcollection.org/toc/sp/283/1</v>
      </c>
      <c r="F219" s="19" t="s">
        <v>611</v>
      </c>
      <c r="G219" s="31" t="s">
        <v>1515</v>
      </c>
      <c r="H219" s="31" t="s">
        <v>1516</v>
      </c>
      <c r="I219" s="31" t="s">
        <v>1517</v>
      </c>
    </row>
    <row r="220" spans="1:9" s="12" customFormat="1" ht="31.2" customHeight="1" x14ac:dyDescent="0.2">
      <c r="A220" s="30" t="s">
        <v>663</v>
      </c>
      <c r="B220" s="27" t="s">
        <v>664</v>
      </c>
      <c r="C220" s="26">
        <v>2007</v>
      </c>
      <c r="D220" s="26" t="s">
        <v>665</v>
      </c>
      <c r="E220" s="29" t="str">
        <f>HYPERLINK("https://www.lyellcollection.org/toc/sp/282/1")</f>
        <v>https://www.lyellcollection.org/toc/sp/282/1</v>
      </c>
      <c r="F220" s="19" t="s">
        <v>611</v>
      </c>
      <c r="G220" s="31" t="s">
        <v>1515</v>
      </c>
      <c r="H220" s="31" t="s">
        <v>1516</v>
      </c>
      <c r="I220" s="31" t="s">
        <v>1517</v>
      </c>
    </row>
    <row r="221" spans="1:9" s="12" customFormat="1" ht="31.2" customHeight="1" x14ac:dyDescent="0.2">
      <c r="A221" s="30" t="s">
        <v>666</v>
      </c>
      <c r="B221" s="27" t="s">
        <v>667</v>
      </c>
      <c r="C221" s="26">
        <v>2007</v>
      </c>
      <c r="D221" s="26" t="s">
        <v>668</v>
      </c>
      <c r="E221" s="29" t="str">
        <f>HYPERLINK("https://www.lyellcollection.org/toc/sp/281/1")</f>
        <v>https://www.lyellcollection.org/toc/sp/281/1</v>
      </c>
      <c r="F221" s="19" t="s">
        <v>611</v>
      </c>
      <c r="G221" s="31" t="s">
        <v>1515</v>
      </c>
      <c r="H221" s="31" t="s">
        <v>1516</v>
      </c>
      <c r="I221" s="31" t="s">
        <v>1517</v>
      </c>
    </row>
    <row r="222" spans="1:9" s="12" customFormat="1" ht="31.2" customHeight="1" x14ac:dyDescent="0.2">
      <c r="A222" s="30" t="s">
        <v>669</v>
      </c>
      <c r="B222" s="27" t="s">
        <v>670</v>
      </c>
      <c r="C222" s="26">
        <v>2007</v>
      </c>
      <c r="D222" s="26" t="s">
        <v>671</v>
      </c>
      <c r="E222" s="29" t="str">
        <f>HYPERLINK("https://www.lyellcollection.org/toc/sp/280/1")</f>
        <v>https://www.lyellcollection.org/toc/sp/280/1</v>
      </c>
      <c r="F222" s="19" t="s">
        <v>611</v>
      </c>
      <c r="G222" s="31" t="s">
        <v>1515</v>
      </c>
      <c r="H222" s="31" t="s">
        <v>1516</v>
      </c>
      <c r="I222" s="31" t="s">
        <v>1517</v>
      </c>
    </row>
    <row r="223" spans="1:9" s="12" customFormat="1" ht="31.2" customHeight="1" x14ac:dyDescent="0.2">
      <c r="A223" s="30" t="s">
        <v>672</v>
      </c>
      <c r="B223" s="27" t="s">
        <v>673</v>
      </c>
      <c r="C223" s="26">
        <v>2007</v>
      </c>
      <c r="D223" s="26" t="s">
        <v>674</v>
      </c>
      <c r="E223" s="29" t="str">
        <f>HYPERLINK("https://www.lyellcollection.org/toc/sp/279/1")</f>
        <v>https://www.lyellcollection.org/toc/sp/279/1</v>
      </c>
      <c r="F223" s="19" t="s">
        <v>611</v>
      </c>
      <c r="G223" s="31" t="s">
        <v>1515</v>
      </c>
      <c r="H223" s="31" t="s">
        <v>1516</v>
      </c>
      <c r="I223" s="31" t="s">
        <v>1517</v>
      </c>
    </row>
    <row r="224" spans="1:9" s="12" customFormat="1" ht="31.2" customHeight="1" x14ac:dyDescent="0.2">
      <c r="A224" s="30" t="s">
        <v>675</v>
      </c>
      <c r="B224" s="27" t="s">
        <v>676</v>
      </c>
      <c r="C224" s="26">
        <v>2007</v>
      </c>
      <c r="D224" s="26" t="s">
        <v>677</v>
      </c>
      <c r="E224" s="29" t="str">
        <f>HYPERLINK("https://www.lyellcollection.org/toc/sp/278/1")</f>
        <v>https://www.lyellcollection.org/toc/sp/278/1</v>
      </c>
      <c r="F224" s="19" t="s">
        <v>611</v>
      </c>
      <c r="G224" s="31" t="s">
        <v>1515</v>
      </c>
      <c r="H224" s="31" t="s">
        <v>1516</v>
      </c>
      <c r="I224" s="31" t="s">
        <v>1517</v>
      </c>
    </row>
    <row r="225" spans="1:9" s="12" customFormat="1" ht="31.2" customHeight="1" x14ac:dyDescent="0.2">
      <c r="A225" s="30" t="s">
        <v>678</v>
      </c>
      <c r="B225" s="27" t="s">
        <v>679</v>
      </c>
      <c r="C225" s="26">
        <v>2007</v>
      </c>
      <c r="D225" s="26" t="s">
        <v>680</v>
      </c>
      <c r="E225" s="29" t="str">
        <f>HYPERLINK("https://www.lyellcollection.org/toc/sp/277/1")</f>
        <v>https://www.lyellcollection.org/toc/sp/277/1</v>
      </c>
      <c r="F225" s="19" t="s">
        <v>611</v>
      </c>
      <c r="G225" s="31" t="s">
        <v>1515</v>
      </c>
      <c r="H225" s="31" t="s">
        <v>1516</v>
      </c>
      <c r="I225" s="31" t="s">
        <v>1517</v>
      </c>
    </row>
    <row r="226" spans="1:9" s="12" customFormat="1" ht="31.2" customHeight="1" x14ac:dyDescent="0.2">
      <c r="A226" s="30" t="s">
        <v>681</v>
      </c>
      <c r="B226" s="27" t="s">
        <v>682</v>
      </c>
      <c r="C226" s="26">
        <v>2007</v>
      </c>
      <c r="D226" s="26" t="s">
        <v>683</v>
      </c>
      <c r="E226" s="29" t="str">
        <f>HYPERLINK("https://www.lyellcollection.org/toc/sp/276/1")</f>
        <v>https://www.lyellcollection.org/toc/sp/276/1</v>
      </c>
      <c r="F226" s="19" t="s">
        <v>611</v>
      </c>
      <c r="G226" s="31" t="s">
        <v>1515</v>
      </c>
      <c r="H226" s="31" t="s">
        <v>1516</v>
      </c>
      <c r="I226" s="31" t="s">
        <v>1517</v>
      </c>
    </row>
    <row r="227" spans="1:9" s="12" customFormat="1" ht="31.2" customHeight="1" x14ac:dyDescent="0.2">
      <c r="A227" s="30" t="s">
        <v>684</v>
      </c>
      <c r="B227" s="27" t="s">
        <v>685</v>
      </c>
      <c r="C227" s="26">
        <v>2007</v>
      </c>
      <c r="D227" s="26" t="s">
        <v>686</v>
      </c>
      <c r="E227" s="29" t="str">
        <f>HYPERLINK("https://www.lyellcollection.org/toc/sp/275/1")</f>
        <v>https://www.lyellcollection.org/toc/sp/275/1</v>
      </c>
      <c r="F227" s="19" t="s">
        <v>611</v>
      </c>
      <c r="G227" s="31" t="s">
        <v>1515</v>
      </c>
      <c r="H227" s="31" t="s">
        <v>1516</v>
      </c>
      <c r="I227" s="31" t="s">
        <v>1517</v>
      </c>
    </row>
    <row r="228" spans="1:9" s="12" customFormat="1" ht="31.2" customHeight="1" x14ac:dyDescent="0.2">
      <c r="A228" s="30" t="s">
        <v>687</v>
      </c>
      <c r="B228" s="27" t="s">
        <v>688</v>
      </c>
      <c r="C228" s="26">
        <v>2007</v>
      </c>
      <c r="D228" s="26" t="s">
        <v>689</v>
      </c>
      <c r="E228" s="29" t="str">
        <f>HYPERLINK("https://www.lyellcollection.org/toc/sp/274/1")</f>
        <v>https://www.lyellcollection.org/toc/sp/274/1</v>
      </c>
      <c r="F228" s="19" t="s">
        <v>611</v>
      </c>
      <c r="G228" s="31" t="s">
        <v>1515</v>
      </c>
      <c r="H228" s="31" t="s">
        <v>1516</v>
      </c>
      <c r="I228" s="31" t="s">
        <v>1517</v>
      </c>
    </row>
    <row r="229" spans="1:9" s="12" customFormat="1" ht="31.2" customHeight="1" x14ac:dyDescent="0.2">
      <c r="A229" s="30" t="s">
        <v>690</v>
      </c>
      <c r="B229" s="27" t="s">
        <v>691</v>
      </c>
      <c r="C229" s="26">
        <v>2007</v>
      </c>
      <c r="D229" s="26" t="s">
        <v>692</v>
      </c>
      <c r="E229" s="29" t="str">
        <f>HYPERLINK("https://www.lyellcollection.org/toc/sp/273/1")</f>
        <v>https://www.lyellcollection.org/toc/sp/273/1</v>
      </c>
      <c r="F229" s="19" t="s">
        <v>611</v>
      </c>
      <c r="G229" s="31" t="s">
        <v>1515</v>
      </c>
      <c r="H229" s="31" t="s">
        <v>1516</v>
      </c>
      <c r="I229" s="31" t="s">
        <v>1517</v>
      </c>
    </row>
    <row r="230" spans="1:9" s="12" customFormat="1" ht="31.2" customHeight="1" x14ac:dyDescent="0.2">
      <c r="A230" s="30" t="s">
        <v>693</v>
      </c>
      <c r="B230" s="27" t="s">
        <v>694</v>
      </c>
      <c r="C230" s="26">
        <v>2007</v>
      </c>
      <c r="D230" s="26" t="s">
        <v>695</v>
      </c>
      <c r="E230" s="29" t="str">
        <f>HYPERLINK("https://www.lyellcollection.org/toc/sp/272/1")</f>
        <v>https://www.lyellcollection.org/toc/sp/272/1</v>
      </c>
      <c r="F230" s="19" t="s">
        <v>611</v>
      </c>
      <c r="G230" s="31" t="s">
        <v>1515</v>
      </c>
      <c r="H230" s="31" t="s">
        <v>1516</v>
      </c>
      <c r="I230" s="31" t="s">
        <v>1517</v>
      </c>
    </row>
    <row r="231" spans="1:9" s="12" customFormat="1" ht="31.2" customHeight="1" x14ac:dyDescent="0.2">
      <c r="A231" s="30" t="s">
        <v>696</v>
      </c>
      <c r="B231" s="27" t="s">
        <v>697</v>
      </c>
      <c r="C231" s="26">
        <v>2007</v>
      </c>
      <c r="D231" s="26" t="s">
        <v>698</v>
      </c>
      <c r="E231" s="29" t="str">
        <f>HYPERLINK("https://www.lyellcollection.org/toc/sp/271/1")</f>
        <v>https://www.lyellcollection.org/toc/sp/271/1</v>
      </c>
      <c r="F231" s="19" t="s">
        <v>611</v>
      </c>
      <c r="G231" s="31" t="s">
        <v>1515</v>
      </c>
      <c r="H231" s="31" t="s">
        <v>1516</v>
      </c>
      <c r="I231" s="31" t="s">
        <v>1517</v>
      </c>
    </row>
    <row r="232" spans="1:9" s="12" customFormat="1" ht="31.2" customHeight="1" x14ac:dyDescent="0.2">
      <c r="A232" s="30" t="s">
        <v>699</v>
      </c>
      <c r="B232" s="27" t="s">
        <v>700</v>
      </c>
      <c r="C232" s="26">
        <v>2007</v>
      </c>
      <c r="D232" s="26" t="s">
        <v>701</v>
      </c>
      <c r="E232" s="29" t="str">
        <f>HYPERLINK("https://www.lyellcollection.org/toc/sp/270/1")</f>
        <v>https://www.lyellcollection.org/toc/sp/270/1</v>
      </c>
      <c r="F232" s="19" t="s">
        <v>611</v>
      </c>
      <c r="G232" s="31" t="s">
        <v>1515</v>
      </c>
      <c r="H232" s="31" t="s">
        <v>1516</v>
      </c>
      <c r="I232" s="31" t="s">
        <v>1517</v>
      </c>
    </row>
    <row r="233" spans="1:9" s="12" customFormat="1" ht="31.2" customHeight="1" x14ac:dyDescent="0.2">
      <c r="A233" s="30" t="s">
        <v>702</v>
      </c>
      <c r="B233" s="27" t="s">
        <v>703</v>
      </c>
      <c r="C233" s="26">
        <v>2006</v>
      </c>
      <c r="D233" s="26" t="s">
        <v>704</v>
      </c>
      <c r="E233" s="29" t="str">
        <f>HYPERLINK("https://www.lyellcollection.org/toc/sp/269/1")</f>
        <v>https://www.lyellcollection.org/toc/sp/269/1</v>
      </c>
      <c r="F233" s="19" t="s">
        <v>611</v>
      </c>
      <c r="G233" s="31" t="s">
        <v>1515</v>
      </c>
      <c r="H233" s="31" t="s">
        <v>1516</v>
      </c>
      <c r="I233" s="31" t="s">
        <v>1517</v>
      </c>
    </row>
    <row r="234" spans="1:9" s="12" customFormat="1" ht="31.2" customHeight="1" x14ac:dyDescent="0.2">
      <c r="A234" s="30" t="s">
        <v>705</v>
      </c>
      <c r="B234" s="27" t="s">
        <v>706</v>
      </c>
      <c r="C234" s="26">
        <v>2006</v>
      </c>
      <c r="D234" s="26" t="s">
        <v>707</v>
      </c>
      <c r="E234" s="29" t="str">
        <f>HYPERLINK("https://www.lyellcollection.org/toc/sp/268/1")</f>
        <v>https://www.lyellcollection.org/toc/sp/268/1</v>
      </c>
      <c r="F234" s="19" t="s">
        <v>611</v>
      </c>
      <c r="G234" s="31" t="s">
        <v>1515</v>
      </c>
      <c r="H234" s="31" t="s">
        <v>1516</v>
      </c>
      <c r="I234" s="31" t="s">
        <v>1517</v>
      </c>
    </row>
    <row r="235" spans="1:9" s="12" customFormat="1" ht="31.2" customHeight="1" x14ac:dyDescent="0.2">
      <c r="A235" s="30" t="s">
        <v>708</v>
      </c>
      <c r="B235" s="27" t="s">
        <v>709</v>
      </c>
      <c r="C235" s="26">
        <v>2006</v>
      </c>
      <c r="D235" s="26" t="s">
        <v>710</v>
      </c>
      <c r="E235" s="29" t="str">
        <f>HYPERLINK("https://www.lyellcollection.org/toc/sp/267/1")</f>
        <v>https://www.lyellcollection.org/toc/sp/267/1</v>
      </c>
      <c r="F235" s="19" t="s">
        <v>611</v>
      </c>
      <c r="G235" s="31" t="s">
        <v>1515</v>
      </c>
      <c r="H235" s="31" t="s">
        <v>1516</v>
      </c>
      <c r="I235" s="31" t="s">
        <v>1517</v>
      </c>
    </row>
    <row r="236" spans="1:9" s="12" customFormat="1" ht="31.2" customHeight="1" x14ac:dyDescent="0.2">
      <c r="A236" s="30" t="s">
        <v>711</v>
      </c>
      <c r="B236" s="27" t="s">
        <v>712</v>
      </c>
      <c r="C236" s="26">
        <v>2006</v>
      </c>
      <c r="D236" s="26" t="s">
        <v>713</v>
      </c>
      <c r="E236" s="29" t="str">
        <f>HYPERLINK("https://www.lyellcollection.org/toc/sp/266/1")</f>
        <v>https://www.lyellcollection.org/toc/sp/266/1</v>
      </c>
      <c r="F236" s="19" t="s">
        <v>611</v>
      </c>
      <c r="G236" s="31" t="s">
        <v>1515</v>
      </c>
      <c r="H236" s="31" t="s">
        <v>1516</v>
      </c>
      <c r="I236" s="31" t="s">
        <v>1517</v>
      </c>
    </row>
    <row r="237" spans="1:9" s="12" customFormat="1" ht="31.2" customHeight="1" x14ac:dyDescent="0.2">
      <c r="A237" s="30" t="s">
        <v>714</v>
      </c>
      <c r="B237" s="27" t="s">
        <v>715</v>
      </c>
      <c r="C237" s="26">
        <v>2006</v>
      </c>
      <c r="D237" s="26" t="s">
        <v>716</v>
      </c>
      <c r="E237" s="29" t="str">
        <f>HYPERLINK("https://www.lyellcollection.org/toc/sp/265/1")</f>
        <v>https://www.lyellcollection.org/toc/sp/265/1</v>
      </c>
      <c r="F237" s="19" t="s">
        <v>611</v>
      </c>
      <c r="G237" s="31" t="s">
        <v>1515</v>
      </c>
      <c r="H237" s="31" t="s">
        <v>1516</v>
      </c>
      <c r="I237" s="31" t="s">
        <v>1517</v>
      </c>
    </row>
    <row r="238" spans="1:9" s="12" customFormat="1" ht="31.2" customHeight="1" x14ac:dyDescent="0.2">
      <c r="A238" s="30" t="s">
        <v>717</v>
      </c>
      <c r="B238" s="27" t="s">
        <v>718</v>
      </c>
      <c r="C238" s="26">
        <v>2006</v>
      </c>
      <c r="D238" s="26" t="s">
        <v>719</v>
      </c>
      <c r="E238" s="29" t="str">
        <f>HYPERLINK("https://www.lyellcollection.org/toc/sp/264/1")</f>
        <v>https://www.lyellcollection.org/toc/sp/264/1</v>
      </c>
      <c r="F238" s="19" t="s">
        <v>611</v>
      </c>
      <c r="G238" s="31" t="s">
        <v>1515</v>
      </c>
      <c r="H238" s="31" t="s">
        <v>1516</v>
      </c>
      <c r="I238" s="31" t="s">
        <v>1517</v>
      </c>
    </row>
    <row r="239" spans="1:9" s="12" customFormat="1" ht="31.2" customHeight="1" x14ac:dyDescent="0.2">
      <c r="A239" s="30" t="s">
        <v>720</v>
      </c>
      <c r="B239" s="27" t="s">
        <v>721</v>
      </c>
      <c r="C239" s="26">
        <v>2006</v>
      </c>
      <c r="D239" s="26" t="s">
        <v>722</v>
      </c>
      <c r="E239" s="29" t="str">
        <f>HYPERLINK("https://www.lyellcollection.org/toc/sp/263/1")</f>
        <v>https://www.lyellcollection.org/toc/sp/263/1</v>
      </c>
      <c r="F239" s="19" t="s">
        <v>611</v>
      </c>
      <c r="G239" s="31" t="s">
        <v>1515</v>
      </c>
      <c r="H239" s="31" t="s">
        <v>1516</v>
      </c>
      <c r="I239" s="31" t="s">
        <v>1517</v>
      </c>
    </row>
    <row r="240" spans="1:9" s="12" customFormat="1" ht="31.2" customHeight="1" x14ac:dyDescent="0.2">
      <c r="A240" s="30" t="s">
        <v>723</v>
      </c>
      <c r="B240" s="27" t="s">
        <v>724</v>
      </c>
      <c r="C240" s="26">
        <v>2006</v>
      </c>
      <c r="D240" s="26" t="s">
        <v>725</v>
      </c>
      <c r="E240" s="29" t="str">
        <f>HYPERLINK("https://www.lyellcollection.org/toc/sp/262/1")</f>
        <v>https://www.lyellcollection.org/toc/sp/262/1</v>
      </c>
      <c r="F240" s="19" t="s">
        <v>611</v>
      </c>
      <c r="G240" s="31" t="s">
        <v>1515</v>
      </c>
      <c r="H240" s="31" t="s">
        <v>1516</v>
      </c>
      <c r="I240" s="31" t="s">
        <v>1517</v>
      </c>
    </row>
    <row r="241" spans="1:22" s="12" customFormat="1" ht="31.2" customHeight="1" x14ac:dyDescent="0.2">
      <c r="A241" s="30" t="s">
        <v>726</v>
      </c>
      <c r="B241" s="27" t="s">
        <v>727</v>
      </c>
      <c r="C241" s="26">
        <v>2006</v>
      </c>
      <c r="D241" s="26" t="s">
        <v>728</v>
      </c>
      <c r="E241" s="29" t="str">
        <f>HYPERLINK("https://www.lyellcollection.org/toc/sp/261/1")</f>
        <v>https://www.lyellcollection.org/toc/sp/261/1</v>
      </c>
      <c r="F241" s="19" t="s">
        <v>611</v>
      </c>
      <c r="G241" s="31" t="s">
        <v>1515</v>
      </c>
      <c r="H241" s="31" t="s">
        <v>1516</v>
      </c>
      <c r="I241" s="31" t="s">
        <v>1517</v>
      </c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</row>
    <row r="242" spans="1:22" s="12" customFormat="1" ht="31.2" customHeight="1" x14ac:dyDescent="0.2">
      <c r="A242" s="30" t="s">
        <v>729</v>
      </c>
      <c r="B242" s="27" t="s">
        <v>730</v>
      </c>
      <c r="C242" s="26">
        <v>2006</v>
      </c>
      <c r="D242" s="26" t="s">
        <v>731</v>
      </c>
      <c r="E242" s="29" t="str">
        <f>HYPERLINK("https://www.lyellcollection.org/toc/sp/260/1")</f>
        <v>https://www.lyellcollection.org/toc/sp/260/1</v>
      </c>
      <c r="F242" s="19" t="s">
        <v>611</v>
      </c>
      <c r="G242" s="31" t="s">
        <v>1515</v>
      </c>
      <c r="H242" s="31" t="s">
        <v>1516</v>
      </c>
      <c r="I242" s="31" t="s">
        <v>1517</v>
      </c>
    </row>
    <row r="243" spans="1:22" s="12" customFormat="1" ht="31.2" customHeight="1" x14ac:dyDescent="0.2">
      <c r="A243" s="30" t="s">
        <v>732</v>
      </c>
      <c r="B243" s="33" t="s">
        <v>733</v>
      </c>
      <c r="C243" s="26">
        <v>2006</v>
      </c>
      <c r="D243" s="17" t="s">
        <v>734</v>
      </c>
      <c r="E243" s="29" t="str">
        <f>HYPERLINK("https://www.lyellcollection.org/toc/sp/259/1")</f>
        <v>https://www.lyellcollection.org/toc/sp/259/1</v>
      </c>
      <c r="F243" s="19" t="s">
        <v>611</v>
      </c>
      <c r="G243" s="31" t="s">
        <v>1515</v>
      </c>
      <c r="H243" s="31" t="s">
        <v>1516</v>
      </c>
      <c r="I243" s="31" t="s">
        <v>1517</v>
      </c>
    </row>
    <row r="244" spans="1:22" s="12" customFormat="1" ht="31.2" customHeight="1" x14ac:dyDescent="0.2">
      <c r="A244" s="30" t="s">
        <v>735</v>
      </c>
      <c r="B244" s="33" t="s">
        <v>736</v>
      </c>
      <c r="C244" s="26">
        <v>2006</v>
      </c>
      <c r="D244" s="17" t="s">
        <v>737</v>
      </c>
      <c r="E244" s="29" t="str">
        <f>HYPERLINK("https://www.lyellcollection.org/toc/sp/258/1")</f>
        <v>https://www.lyellcollection.org/toc/sp/258/1</v>
      </c>
      <c r="F244" s="19" t="s">
        <v>611</v>
      </c>
      <c r="G244" s="31" t="s">
        <v>1515</v>
      </c>
      <c r="H244" s="31" t="s">
        <v>1516</v>
      </c>
      <c r="I244" s="31" t="s">
        <v>1517</v>
      </c>
    </row>
    <row r="245" spans="1:22" s="12" customFormat="1" ht="31.2" customHeight="1" x14ac:dyDescent="0.2">
      <c r="A245" s="30" t="s">
        <v>738</v>
      </c>
      <c r="B245" s="33" t="s">
        <v>739</v>
      </c>
      <c r="C245" s="26">
        <v>2006</v>
      </c>
      <c r="D245" s="17" t="s">
        <v>740</v>
      </c>
      <c r="E245" s="29" t="str">
        <f>HYPERLINK("https://www.lyellcollection.org/toc/sp/257/1")</f>
        <v>https://www.lyellcollection.org/toc/sp/257/1</v>
      </c>
      <c r="F245" s="19" t="s">
        <v>611</v>
      </c>
      <c r="G245" s="31" t="s">
        <v>1515</v>
      </c>
      <c r="H245" s="31" t="s">
        <v>1516</v>
      </c>
      <c r="I245" s="31" t="s">
        <v>1517</v>
      </c>
    </row>
    <row r="246" spans="1:22" s="12" customFormat="1" ht="31.2" customHeight="1" x14ac:dyDescent="0.2">
      <c r="A246" s="30" t="s">
        <v>741</v>
      </c>
      <c r="B246" s="33" t="s">
        <v>742</v>
      </c>
      <c r="C246" s="26">
        <v>2006</v>
      </c>
      <c r="D246" s="17" t="s">
        <v>743</v>
      </c>
      <c r="E246" s="29" t="str">
        <f>HYPERLINK("https://www.lyellcollection.org/toc/sp/256/1")</f>
        <v>https://www.lyellcollection.org/toc/sp/256/1</v>
      </c>
      <c r="F246" s="19" t="s">
        <v>611</v>
      </c>
      <c r="G246" s="31" t="s">
        <v>1515</v>
      </c>
      <c r="H246" s="31" t="s">
        <v>1516</v>
      </c>
      <c r="I246" s="31" t="s">
        <v>1517</v>
      </c>
    </row>
    <row r="247" spans="1:22" s="12" customFormat="1" ht="31.2" customHeight="1" x14ac:dyDescent="0.2">
      <c r="A247" s="30" t="s">
        <v>744</v>
      </c>
      <c r="B247" s="33" t="s">
        <v>745</v>
      </c>
      <c r="C247" s="26">
        <v>2006</v>
      </c>
      <c r="D247" s="17" t="s">
        <v>746</v>
      </c>
      <c r="E247" s="29" t="str">
        <f>HYPERLINK("https://www.lyellcollection.org/toc/sp/255/1")</f>
        <v>https://www.lyellcollection.org/toc/sp/255/1</v>
      </c>
      <c r="F247" s="19" t="s">
        <v>611</v>
      </c>
      <c r="G247" s="31" t="s">
        <v>1515</v>
      </c>
      <c r="H247" s="31" t="s">
        <v>1516</v>
      </c>
      <c r="I247" s="31" t="s">
        <v>1517</v>
      </c>
    </row>
    <row r="248" spans="1:22" s="12" customFormat="1" ht="31.2" customHeight="1" x14ac:dyDescent="0.2">
      <c r="A248" s="30" t="s">
        <v>747</v>
      </c>
      <c r="B248" s="33" t="s">
        <v>748</v>
      </c>
      <c r="C248" s="26">
        <v>2006</v>
      </c>
      <c r="D248" s="17" t="s">
        <v>749</v>
      </c>
      <c r="E248" s="29" t="str">
        <f>HYPERLINK("https://www.lyellcollection.org/toc/sp/254/1")</f>
        <v>https://www.lyellcollection.org/toc/sp/254/1</v>
      </c>
      <c r="F248" s="19" t="s">
        <v>611</v>
      </c>
      <c r="G248" s="31" t="s">
        <v>1515</v>
      </c>
      <c r="H248" s="31" t="s">
        <v>1516</v>
      </c>
      <c r="I248" s="31" t="s">
        <v>1517</v>
      </c>
    </row>
    <row r="249" spans="1:22" s="12" customFormat="1" ht="31.2" customHeight="1" x14ac:dyDescent="0.2">
      <c r="A249" s="30" t="s">
        <v>750</v>
      </c>
      <c r="B249" s="33" t="s">
        <v>751</v>
      </c>
      <c r="C249" s="26">
        <v>2006</v>
      </c>
      <c r="D249" s="17" t="s">
        <v>752</v>
      </c>
      <c r="E249" s="29" t="str">
        <f>HYPERLINK("https://www.lyellcollection.org/toc/sp/253/1")</f>
        <v>https://www.lyellcollection.org/toc/sp/253/1</v>
      </c>
      <c r="F249" s="19" t="s">
        <v>611</v>
      </c>
      <c r="G249" s="31" t="s">
        <v>1515</v>
      </c>
      <c r="H249" s="31" t="s">
        <v>1516</v>
      </c>
      <c r="I249" s="31" t="s">
        <v>1517</v>
      </c>
    </row>
    <row r="250" spans="1:22" s="12" customFormat="1" ht="31.2" customHeight="1" x14ac:dyDescent="0.2">
      <c r="A250" s="30" t="s">
        <v>753</v>
      </c>
      <c r="B250" s="33" t="s">
        <v>754</v>
      </c>
      <c r="C250" s="26">
        <v>2005</v>
      </c>
      <c r="D250" s="17" t="s">
        <v>755</v>
      </c>
      <c r="E250" s="29" t="str">
        <f>HYPERLINK("https://www.lyellcollection.org/toc/sp/252/1")</f>
        <v>https://www.lyellcollection.org/toc/sp/252/1</v>
      </c>
      <c r="F250" s="19" t="s">
        <v>611</v>
      </c>
      <c r="G250" s="31" t="s">
        <v>1515</v>
      </c>
      <c r="H250" s="31" t="s">
        <v>1516</v>
      </c>
      <c r="I250" s="31" t="s">
        <v>1517</v>
      </c>
    </row>
    <row r="251" spans="1:22" s="12" customFormat="1" ht="31.2" customHeight="1" x14ac:dyDescent="0.2">
      <c r="A251" s="30" t="s">
        <v>756</v>
      </c>
      <c r="B251" s="33" t="s">
        <v>757</v>
      </c>
      <c r="C251" s="26">
        <v>2005</v>
      </c>
      <c r="D251" s="17" t="s">
        <v>758</v>
      </c>
      <c r="E251" s="29" t="str">
        <f>HYPERLINK("https://www.lyellcollection.org/toc/sp/251/1")</f>
        <v>https://www.lyellcollection.org/toc/sp/251/1</v>
      </c>
      <c r="F251" s="19" t="s">
        <v>611</v>
      </c>
      <c r="G251" s="31" t="s">
        <v>1515</v>
      </c>
      <c r="H251" s="31" t="s">
        <v>1516</v>
      </c>
      <c r="I251" s="31" t="s">
        <v>1517</v>
      </c>
    </row>
    <row r="252" spans="1:22" s="12" customFormat="1" ht="31.2" customHeight="1" x14ac:dyDescent="0.2">
      <c r="A252" s="30" t="s">
        <v>759</v>
      </c>
      <c r="B252" s="33" t="s">
        <v>760</v>
      </c>
      <c r="C252" s="26">
        <v>2005</v>
      </c>
      <c r="D252" s="17" t="s">
        <v>761</v>
      </c>
      <c r="E252" s="29" t="str">
        <f>HYPERLINK("https://www.lyellcollection.org/toc/sp/250/1")</f>
        <v>https://www.lyellcollection.org/toc/sp/250/1</v>
      </c>
      <c r="F252" s="19" t="s">
        <v>611</v>
      </c>
      <c r="G252" s="31" t="s">
        <v>1515</v>
      </c>
      <c r="H252" s="31" t="s">
        <v>1516</v>
      </c>
      <c r="I252" s="31" t="s">
        <v>1517</v>
      </c>
    </row>
    <row r="253" spans="1:22" s="12" customFormat="1" ht="31.2" customHeight="1" x14ac:dyDescent="0.2">
      <c r="A253" s="30" t="s">
        <v>762</v>
      </c>
      <c r="B253" s="33" t="s">
        <v>763</v>
      </c>
      <c r="C253" s="26">
        <v>2005</v>
      </c>
      <c r="D253" s="17" t="s">
        <v>764</v>
      </c>
      <c r="E253" s="29" t="str">
        <f>HYPERLINK("https://www.lyellcollection.org/toc/sp/249/1")</f>
        <v>https://www.lyellcollection.org/toc/sp/249/1</v>
      </c>
      <c r="F253" s="19" t="s">
        <v>611</v>
      </c>
      <c r="G253" s="31" t="s">
        <v>1515</v>
      </c>
      <c r="H253" s="31" t="s">
        <v>1516</v>
      </c>
      <c r="I253" s="31" t="s">
        <v>1517</v>
      </c>
    </row>
    <row r="254" spans="1:22" s="12" customFormat="1" ht="31.2" customHeight="1" x14ac:dyDescent="0.2">
      <c r="A254" s="30" t="s">
        <v>765</v>
      </c>
      <c r="B254" s="33" t="s">
        <v>766</v>
      </c>
      <c r="C254" s="26">
        <v>2005</v>
      </c>
      <c r="D254" s="17" t="s">
        <v>767</v>
      </c>
      <c r="E254" s="29" t="str">
        <f>HYPERLINK("https://www.lyellcollection.org/toc/sp/248/1")</f>
        <v>https://www.lyellcollection.org/toc/sp/248/1</v>
      </c>
      <c r="F254" s="19" t="s">
        <v>611</v>
      </c>
      <c r="G254" s="31" t="s">
        <v>1515</v>
      </c>
      <c r="H254" s="31" t="s">
        <v>1516</v>
      </c>
      <c r="I254" s="31" t="s">
        <v>1517</v>
      </c>
    </row>
    <row r="255" spans="1:22" s="12" customFormat="1" ht="31.2" customHeight="1" x14ac:dyDescent="0.2">
      <c r="A255" s="30" t="s">
        <v>768</v>
      </c>
      <c r="B255" s="33" t="s">
        <v>769</v>
      </c>
      <c r="C255" s="26">
        <v>2005</v>
      </c>
      <c r="D255" s="17" t="s">
        <v>770</v>
      </c>
      <c r="E255" s="29" t="str">
        <f>HYPERLINK("https://www.lyellcollection.org/toc/sp/247/1")</f>
        <v>https://www.lyellcollection.org/toc/sp/247/1</v>
      </c>
      <c r="F255" s="19" t="s">
        <v>611</v>
      </c>
      <c r="G255" s="31" t="s">
        <v>1515</v>
      </c>
      <c r="H255" s="31" t="s">
        <v>1516</v>
      </c>
      <c r="I255" s="31" t="s">
        <v>1517</v>
      </c>
    </row>
    <row r="256" spans="1:22" s="12" customFormat="1" ht="31.2" customHeight="1" x14ac:dyDescent="0.2">
      <c r="A256" s="30" t="s">
        <v>771</v>
      </c>
      <c r="B256" s="33" t="s">
        <v>772</v>
      </c>
      <c r="C256" s="26">
        <v>2005</v>
      </c>
      <c r="D256" s="17" t="s">
        <v>773</v>
      </c>
      <c r="E256" s="29" t="str">
        <f>HYPERLINK("https://www.lyellcollection.org/toc/sp/246/1")</f>
        <v>https://www.lyellcollection.org/toc/sp/246/1</v>
      </c>
      <c r="F256" s="19" t="s">
        <v>611</v>
      </c>
      <c r="G256" s="31" t="s">
        <v>1515</v>
      </c>
      <c r="H256" s="31" t="s">
        <v>1516</v>
      </c>
      <c r="I256" s="31" t="s">
        <v>1517</v>
      </c>
    </row>
    <row r="257" spans="1:9" s="12" customFormat="1" ht="31.2" customHeight="1" x14ac:dyDescent="0.2">
      <c r="A257" s="30" t="s">
        <v>774</v>
      </c>
      <c r="B257" s="33" t="s">
        <v>775</v>
      </c>
      <c r="C257" s="26">
        <v>2005</v>
      </c>
      <c r="D257" s="17" t="s">
        <v>776</v>
      </c>
      <c r="E257" s="29" t="str">
        <f>HYPERLINK("https://www.lyellcollection.org/toc/sp/245/1")</f>
        <v>https://www.lyellcollection.org/toc/sp/245/1</v>
      </c>
      <c r="F257" s="19" t="s">
        <v>611</v>
      </c>
      <c r="G257" s="31" t="s">
        <v>1515</v>
      </c>
      <c r="H257" s="31" t="s">
        <v>1516</v>
      </c>
      <c r="I257" s="31" t="s">
        <v>1517</v>
      </c>
    </row>
    <row r="258" spans="1:9" s="12" customFormat="1" ht="31.2" customHeight="1" x14ac:dyDescent="0.2">
      <c r="A258" s="30" t="s">
        <v>777</v>
      </c>
      <c r="B258" s="33" t="s">
        <v>778</v>
      </c>
      <c r="C258" s="26">
        <v>2005</v>
      </c>
      <c r="D258" s="17" t="s">
        <v>779</v>
      </c>
      <c r="E258" s="29" t="str">
        <f>HYPERLINK("https://www.lyellcollection.org/toc/sp/244/1")</f>
        <v>https://www.lyellcollection.org/toc/sp/244/1</v>
      </c>
      <c r="F258" s="19" t="s">
        <v>611</v>
      </c>
      <c r="G258" s="31" t="s">
        <v>1515</v>
      </c>
      <c r="H258" s="31" t="s">
        <v>1516</v>
      </c>
      <c r="I258" s="31" t="s">
        <v>1517</v>
      </c>
    </row>
    <row r="259" spans="1:9" s="12" customFormat="1" ht="31.2" customHeight="1" x14ac:dyDescent="0.2">
      <c r="A259" s="30" t="s">
        <v>780</v>
      </c>
      <c r="B259" s="33" t="s">
        <v>781</v>
      </c>
      <c r="C259" s="26">
        <v>2005</v>
      </c>
      <c r="D259" s="17" t="s">
        <v>782</v>
      </c>
      <c r="E259" s="29" t="str">
        <f>HYPERLINK("https://www.lyellcollection.org/toc/sp/243/1")</f>
        <v>https://www.lyellcollection.org/toc/sp/243/1</v>
      </c>
      <c r="F259" s="19" t="s">
        <v>611</v>
      </c>
      <c r="G259" s="31" t="s">
        <v>1515</v>
      </c>
      <c r="H259" s="31" t="s">
        <v>1516</v>
      </c>
      <c r="I259" s="31" t="s">
        <v>1517</v>
      </c>
    </row>
    <row r="260" spans="1:9" s="12" customFormat="1" ht="31.2" customHeight="1" x14ac:dyDescent="0.2">
      <c r="A260" s="30" t="s">
        <v>783</v>
      </c>
      <c r="B260" s="33" t="s">
        <v>784</v>
      </c>
      <c r="C260" s="26">
        <v>2005</v>
      </c>
      <c r="D260" s="17" t="s">
        <v>785</v>
      </c>
      <c r="E260" s="29" t="str">
        <f>HYPERLINK("https://www.lyellcollection.org/toc/sp/242/1")</f>
        <v>https://www.lyellcollection.org/toc/sp/242/1</v>
      </c>
      <c r="F260" s="19" t="s">
        <v>611</v>
      </c>
      <c r="G260" s="31" t="s">
        <v>1515</v>
      </c>
      <c r="H260" s="31" t="s">
        <v>1516</v>
      </c>
      <c r="I260" s="31" t="s">
        <v>1517</v>
      </c>
    </row>
    <row r="261" spans="1:9" s="12" customFormat="1" ht="31.2" customHeight="1" x14ac:dyDescent="0.2">
      <c r="A261" s="30" t="s">
        <v>786</v>
      </c>
      <c r="B261" s="33" t="s">
        <v>787</v>
      </c>
      <c r="C261" s="26">
        <v>2005</v>
      </c>
      <c r="D261" s="17" t="s">
        <v>788</v>
      </c>
      <c r="E261" s="29" t="str">
        <f>HYPERLINK("https://www.lyellcollection.org/toc/sp/241/1")</f>
        <v>https://www.lyellcollection.org/toc/sp/241/1</v>
      </c>
      <c r="F261" s="19" t="s">
        <v>611</v>
      </c>
      <c r="G261" s="31" t="s">
        <v>1515</v>
      </c>
      <c r="H261" s="31" t="s">
        <v>1516</v>
      </c>
      <c r="I261" s="31" t="s">
        <v>1517</v>
      </c>
    </row>
    <row r="262" spans="1:9" s="12" customFormat="1" ht="31.2" customHeight="1" x14ac:dyDescent="0.2">
      <c r="A262" s="30" t="s">
        <v>789</v>
      </c>
      <c r="B262" s="33" t="s">
        <v>790</v>
      </c>
      <c r="C262" s="26">
        <v>2005</v>
      </c>
      <c r="D262" s="17" t="s">
        <v>791</v>
      </c>
      <c r="E262" s="29" t="str">
        <f>HYPERLINK("https://www.lyellcollection.org/toc/sp/240/1")</f>
        <v>https://www.lyellcollection.org/toc/sp/240/1</v>
      </c>
      <c r="F262" s="19" t="s">
        <v>611</v>
      </c>
      <c r="G262" s="31" t="s">
        <v>1515</v>
      </c>
      <c r="H262" s="31" t="s">
        <v>1516</v>
      </c>
      <c r="I262" s="31" t="s">
        <v>1517</v>
      </c>
    </row>
    <row r="263" spans="1:9" s="12" customFormat="1" ht="31.2" customHeight="1" x14ac:dyDescent="0.2">
      <c r="A263" s="30" t="s">
        <v>792</v>
      </c>
      <c r="B263" s="33" t="s">
        <v>793</v>
      </c>
      <c r="C263" s="26">
        <v>2004</v>
      </c>
      <c r="D263" s="17" t="s">
        <v>794</v>
      </c>
      <c r="E263" s="29" t="str">
        <f>HYPERLINK("https://www.lyellcollection.org/toc/sp/239/1")</f>
        <v>https://www.lyellcollection.org/toc/sp/239/1</v>
      </c>
      <c r="F263" s="19" t="s">
        <v>611</v>
      </c>
      <c r="G263" s="31" t="s">
        <v>1515</v>
      </c>
      <c r="H263" s="31" t="s">
        <v>1516</v>
      </c>
      <c r="I263" s="31" t="s">
        <v>1517</v>
      </c>
    </row>
    <row r="264" spans="1:9" s="12" customFormat="1" ht="31.2" customHeight="1" x14ac:dyDescent="0.2">
      <c r="A264" s="30" t="s">
        <v>795</v>
      </c>
      <c r="B264" s="33" t="s">
        <v>796</v>
      </c>
      <c r="C264" s="26">
        <v>2004</v>
      </c>
      <c r="D264" s="17" t="s">
        <v>797</v>
      </c>
      <c r="E264" s="29" t="str">
        <f>HYPERLINK("https://www.lyellcollection.org/toc/sp/238/1")</f>
        <v>https://www.lyellcollection.org/toc/sp/238/1</v>
      </c>
      <c r="F264" s="19" t="s">
        <v>611</v>
      </c>
      <c r="G264" s="31" t="s">
        <v>1515</v>
      </c>
      <c r="H264" s="31" t="s">
        <v>1516</v>
      </c>
      <c r="I264" s="31" t="s">
        <v>1517</v>
      </c>
    </row>
    <row r="265" spans="1:9" s="12" customFormat="1" ht="31.2" customHeight="1" x14ac:dyDescent="0.2">
      <c r="A265" s="30" t="s">
        <v>798</v>
      </c>
      <c r="B265" s="33" t="s">
        <v>799</v>
      </c>
      <c r="C265" s="26">
        <v>2004</v>
      </c>
      <c r="D265" s="17" t="s">
        <v>800</v>
      </c>
      <c r="E265" s="29" t="str">
        <f>HYPERLINK("https://www.lyellcollection.org/toc/sp/237/1")</f>
        <v>https://www.lyellcollection.org/toc/sp/237/1</v>
      </c>
      <c r="F265" s="19" t="s">
        <v>611</v>
      </c>
      <c r="G265" s="31" t="s">
        <v>1515</v>
      </c>
      <c r="H265" s="31" t="s">
        <v>1516</v>
      </c>
      <c r="I265" s="31" t="s">
        <v>1517</v>
      </c>
    </row>
    <row r="266" spans="1:9" s="12" customFormat="1" ht="31.2" customHeight="1" x14ac:dyDescent="0.2">
      <c r="A266" s="30" t="s">
        <v>801</v>
      </c>
      <c r="B266" s="33" t="s">
        <v>802</v>
      </c>
      <c r="C266" s="26">
        <v>2004</v>
      </c>
      <c r="D266" s="17" t="s">
        <v>803</v>
      </c>
      <c r="E266" s="29" t="str">
        <f>HYPERLINK("https://www.lyellcollection.org/toc/sp/236/1")</f>
        <v>https://www.lyellcollection.org/toc/sp/236/1</v>
      </c>
      <c r="F266" s="19" t="s">
        <v>611</v>
      </c>
      <c r="G266" s="31" t="s">
        <v>1515</v>
      </c>
      <c r="H266" s="31" t="s">
        <v>1516</v>
      </c>
      <c r="I266" s="31" t="s">
        <v>1517</v>
      </c>
    </row>
    <row r="267" spans="1:9" s="12" customFormat="1" ht="31.2" customHeight="1" x14ac:dyDescent="0.2">
      <c r="A267" s="30" t="s">
        <v>804</v>
      </c>
      <c r="B267" s="33" t="s">
        <v>805</v>
      </c>
      <c r="C267" s="26">
        <v>2004</v>
      </c>
      <c r="D267" s="17" t="s">
        <v>806</v>
      </c>
      <c r="E267" s="29" t="str">
        <f>HYPERLINK("https://www.lyellcollection.org/toc/sp/235/1")</f>
        <v>https://www.lyellcollection.org/toc/sp/235/1</v>
      </c>
      <c r="F267" s="19" t="s">
        <v>611</v>
      </c>
      <c r="G267" s="31" t="s">
        <v>1515</v>
      </c>
      <c r="H267" s="31" t="s">
        <v>1516</v>
      </c>
      <c r="I267" s="31" t="s">
        <v>1517</v>
      </c>
    </row>
    <row r="268" spans="1:9" s="12" customFormat="1" ht="31.2" customHeight="1" x14ac:dyDescent="0.2">
      <c r="A268" s="30" t="s">
        <v>807</v>
      </c>
      <c r="B268" s="33" t="s">
        <v>808</v>
      </c>
      <c r="C268" s="26">
        <v>2004</v>
      </c>
      <c r="D268" s="17" t="s">
        <v>809</v>
      </c>
      <c r="E268" s="29" t="str">
        <f>HYPERLINK("https://www.lyellcollection.org/toc/sp/234/1")</f>
        <v>https://www.lyellcollection.org/toc/sp/234/1</v>
      </c>
      <c r="F268" s="19" t="s">
        <v>611</v>
      </c>
      <c r="G268" s="31" t="s">
        <v>1515</v>
      </c>
      <c r="H268" s="31" t="s">
        <v>1516</v>
      </c>
      <c r="I268" s="31" t="s">
        <v>1517</v>
      </c>
    </row>
    <row r="269" spans="1:9" s="12" customFormat="1" ht="31.2" customHeight="1" x14ac:dyDescent="0.2">
      <c r="A269" s="30" t="s">
        <v>810</v>
      </c>
      <c r="B269" s="33" t="s">
        <v>811</v>
      </c>
      <c r="C269" s="26">
        <v>2004</v>
      </c>
      <c r="D269" s="17" t="s">
        <v>812</v>
      </c>
      <c r="E269" s="29" t="str">
        <f>HYPERLINK("https://www.lyellcollection.org/toc/sp/233/1")</f>
        <v>https://www.lyellcollection.org/toc/sp/233/1</v>
      </c>
      <c r="F269" s="19" t="s">
        <v>611</v>
      </c>
      <c r="G269" s="31" t="s">
        <v>1515</v>
      </c>
      <c r="H269" s="31" t="s">
        <v>1516</v>
      </c>
      <c r="I269" s="31" t="s">
        <v>1517</v>
      </c>
    </row>
    <row r="270" spans="1:9" s="12" customFormat="1" ht="31.2" customHeight="1" x14ac:dyDescent="0.2">
      <c r="A270" s="30" t="s">
        <v>813</v>
      </c>
      <c r="B270" s="33" t="s">
        <v>814</v>
      </c>
      <c r="C270" s="26">
        <v>2004</v>
      </c>
      <c r="D270" s="17" t="s">
        <v>815</v>
      </c>
      <c r="E270" s="29" t="str">
        <f>HYPERLINK("https://www.lyellcollection.org/toc/sp/232/1")</f>
        <v>https://www.lyellcollection.org/toc/sp/232/1</v>
      </c>
      <c r="F270" s="19" t="s">
        <v>611</v>
      </c>
      <c r="G270" s="31" t="s">
        <v>1515</v>
      </c>
      <c r="H270" s="31" t="s">
        <v>1516</v>
      </c>
      <c r="I270" s="31" t="s">
        <v>1517</v>
      </c>
    </row>
    <row r="271" spans="1:9" s="12" customFormat="1" ht="31.2" customHeight="1" x14ac:dyDescent="0.2">
      <c r="A271" s="30" t="s">
        <v>816</v>
      </c>
      <c r="B271" s="33" t="s">
        <v>817</v>
      </c>
      <c r="C271" s="26">
        <v>2004</v>
      </c>
      <c r="D271" s="17" t="s">
        <v>818</v>
      </c>
      <c r="E271" s="29" t="str">
        <f>HYPERLINK("https://www.lyellcollection.org/toc/sp/231/1")</f>
        <v>https://www.lyellcollection.org/toc/sp/231/1</v>
      </c>
      <c r="F271" s="19" t="s">
        <v>611</v>
      </c>
      <c r="G271" s="31" t="s">
        <v>1515</v>
      </c>
      <c r="H271" s="31" t="s">
        <v>1516</v>
      </c>
      <c r="I271" s="31" t="s">
        <v>1517</v>
      </c>
    </row>
    <row r="272" spans="1:9" s="12" customFormat="1" ht="31.2" customHeight="1" x14ac:dyDescent="0.2">
      <c r="A272" s="30" t="s">
        <v>819</v>
      </c>
      <c r="B272" s="33" t="s">
        <v>820</v>
      </c>
      <c r="C272" s="26">
        <v>2004</v>
      </c>
      <c r="D272" s="17" t="s">
        <v>821</v>
      </c>
      <c r="E272" s="29" t="str">
        <f>HYPERLINK("https://www.lyellcollection.org/toc/sp/230/1")</f>
        <v>https://www.lyellcollection.org/toc/sp/230/1</v>
      </c>
      <c r="F272" s="19" t="s">
        <v>611</v>
      </c>
      <c r="G272" s="31" t="s">
        <v>1515</v>
      </c>
      <c r="H272" s="31" t="s">
        <v>1516</v>
      </c>
      <c r="I272" s="31" t="s">
        <v>1517</v>
      </c>
    </row>
    <row r="273" spans="1:9" s="12" customFormat="1" ht="31.2" customHeight="1" x14ac:dyDescent="0.2">
      <c r="A273" s="30" t="s">
        <v>822</v>
      </c>
      <c r="B273" s="33" t="s">
        <v>823</v>
      </c>
      <c r="C273" s="26">
        <v>2004</v>
      </c>
      <c r="D273" s="17" t="s">
        <v>824</v>
      </c>
      <c r="E273" s="29" t="str">
        <f>HYPERLINK("https://www.lyellcollection.org/toc/sp/229/1")</f>
        <v>https://www.lyellcollection.org/toc/sp/229/1</v>
      </c>
      <c r="F273" s="19" t="s">
        <v>611</v>
      </c>
      <c r="G273" s="31" t="s">
        <v>1515</v>
      </c>
      <c r="H273" s="31" t="s">
        <v>1516</v>
      </c>
      <c r="I273" s="31" t="s">
        <v>1517</v>
      </c>
    </row>
    <row r="274" spans="1:9" s="12" customFormat="1" ht="31.2" customHeight="1" x14ac:dyDescent="0.2">
      <c r="A274" s="30" t="s">
        <v>825</v>
      </c>
      <c r="B274" s="33" t="s">
        <v>826</v>
      </c>
      <c r="C274" s="26">
        <v>2004</v>
      </c>
      <c r="D274" s="17" t="s">
        <v>827</v>
      </c>
      <c r="E274" s="29" t="str">
        <f>HYPERLINK("https://www.lyellcollection.org/toc/sp/228/1")</f>
        <v>https://www.lyellcollection.org/toc/sp/228/1</v>
      </c>
      <c r="F274" s="19" t="s">
        <v>611</v>
      </c>
      <c r="G274" s="31" t="s">
        <v>1515</v>
      </c>
      <c r="H274" s="31" t="s">
        <v>1516</v>
      </c>
      <c r="I274" s="31" t="s">
        <v>1517</v>
      </c>
    </row>
    <row r="275" spans="1:9" s="12" customFormat="1" ht="31.2" customHeight="1" x14ac:dyDescent="0.2">
      <c r="A275" s="30" t="s">
        <v>828</v>
      </c>
      <c r="B275" s="33" t="s">
        <v>829</v>
      </c>
      <c r="C275" s="26">
        <v>2004</v>
      </c>
      <c r="D275" s="17" t="s">
        <v>830</v>
      </c>
      <c r="E275" s="29" t="str">
        <f>HYPERLINK("https://www.lyellcollection.org/toc/sp/227/1")</f>
        <v>https://www.lyellcollection.org/toc/sp/227/1</v>
      </c>
      <c r="F275" s="19" t="s">
        <v>611</v>
      </c>
      <c r="G275" s="31" t="s">
        <v>1515</v>
      </c>
      <c r="H275" s="31" t="s">
        <v>1516</v>
      </c>
      <c r="I275" s="31" t="s">
        <v>1517</v>
      </c>
    </row>
    <row r="276" spans="1:9" s="12" customFormat="1" ht="31.2" customHeight="1" x14ac:dyDescent="0.2">
      <c r="A276" s="30" t="s">
        <v>831</v>
      </c>
      <c r="B276" s="33" t="s">
        <v>832</v>
      </c>
      <c r="C276" s="26">
        <v>2004</v>
      </c>
      <c r="D276" s="17" t="s">
        <v>833</v>
      </c>
      <c r="E276" s="29" t="str">
        <f>HYPERLINK("https://www.lyellcollection.org/toc/sp/226/1")</f>
        <v>https://www.lyellcollection.org/toc/sp/226/1</v>
      </c>
      <c r="F276" s="19" t="s">
        <v>611</v>
      </c>
      <c r="G276" s="31" t="s">
        <v>1515</v>
      </c>
      <c r="H276" s="31" t="s">
        <v>1516</v>
      </c>
      <c r="I276" s="31" t="s">
        <v>1517</v>
      </c>
    </row>
    <row r="277" spans="1:9" s="12" customFormat="1" ht="31.2" customHeight="1" x14ac:dyDescent="0.2">
      <c r="A277" s="30" t="s">
        <v>834</v>
      </c>
      <c r="B277" s="33" t="s">
        <v>835</v>
      </c>
      <c r="C277" s="26">
        <v>2004</v>
      </c>
      <c r="D277" s="17" t="s">
        <v>836</v>
      </c>
      <c r="E277" s="29" t="str">
        <f>HYPERLINK("https://www.lyellcollection.org/toc/sp/225/1")</f>
        <v>https://www.lyellcollection.org/toc/sp/225/1</v>
      </c>
      <c r="F277" s="19" t="s">
        <v>611</v>
      </c>
      <c r="G277" s="31" t="s">
        <v>1515</v>
      </c>
      <c r="H277" s="31" t="s">
        <v>1516</v>
      </c>
      <c r="I277" s="31" t="s">
        <v>1517</v>
      </c>
    </row>
    <row r="278" spans="1:9" s="12" customFormat="1" ht="31.2" customHeight="1" x14ac:dyDescent="0.2">
      <c r="A278" s="30" t="s">
        <v>837</v>
      </c>
      <c r="B278" s="33" t="s">
        <v>838</v>
      </c>
      <c r="C278" s="26">
        <v>2004</v>
      </c>
      <c r="D278" s="17" t="s">
        <v>839</v>
      </c>
      <c r="E278" s="29" t="str">
        <f>HYPERLINK("https://www.lyellcollection.org/toc/sp/224/1")</f>
        <v>https://www.lyellcollection.org/toc/sp/224/1</v>
      </c>
      <c r="F278" s="19" t="s">
        <v>611</v>
      </c>
      <c r="G278" s="31" t="s">
        <v>1515</v>
      </c>
      <c r="H278" s="31" t="s">
        <v>1516</v>
      </c>
      <c r="I278" s="31" t="s">
        <v>1517</v>
      </c>
    </row>
    <row r="279" spans="1:9" s="12" customFormat="1" ht="31.2" customHeight="1" x14ac:dyDescent="0.2">
      <c r="A279" s="30" t="s">
        <v>840</v>
      </c>
      <c r="B279" s="33" t="s">
        <v>841</v>
      </c>
      <c r="C279" s="26">
        <v>2004</v>
      </c>
      <c r="D279" s="17" t="s">
        <v>842</v>
      </c>
      <c r="E279" s="29" t="str">
        <f>HYPERLINK("https://www.lyellcollection.org/toc/sp/223/1")</f>
        <v>https://www.lyellcollection.org/toc/sp/223/1</v>
      </c>
      <c r="F279" s="19" t="s">
        <v>611</v>
      </c>
      <c r="G279" s="31" t="s">
        <v>1515</v>
      </c>
      <c r="H279" s="31" t="s">
        <v>1516</v>
      </c>
      <c r="I279" s="31" t="s">
        <v>1517</v>
      </c>
    </row>
    <row r="280" spans="1:9" s="12" customFormat="1" ht="31.2" customHeight="1" x14ac:dyDescent="0.2">
      <c r="A280" s="30" t="s">
        <v>843</v>
      </c>
      <c r="B280" s="33" t="s">
        <v>844</v>
      </c>
      <c r="C280" s="26">
        <v>2004</v>
      </c>
      <c r="D280" s="17" t="s">
        <v>845</v>
      </c>
      <c r="E280" s="29" t="str">
        <f>HYPERLINK("https://www.lyellcollection.org/toc/sp/222/1")</f>
        <v>https://www.lyellcollection.org/toc/sp/222/1</v>
      </c>
      <c r="F280" s="19" t="s">
        <v>611</v>
      </c>
      <c r="G280" s="31" t="s">
        <v>1515</v>
      </c>
      <c r="H280" s="31" t="s">
        <v>1516</v>
      </c>
      <c r="I280" s="31" t="s">
        <v>1517</v>
      </c>
    </row>
    <row r="281" spans="1:9" s="12" customFormat="1" ht="31.2" customHeight="1" x14ac:dyDescent="0.2">
      <c r="A281" s="30" t="s">
        <v>846</v>
      </c>
      <c r="B281" s="33" t="s">
        <v>847</v>
      </c>
      <c r="C281" s="26">
        <v>2004</v>
      </c>
      <c r="D281" s="17" t="s">
        <v>848</v>
      </c>
      <c r="E281" s="29" t="str">
        <f>HYPERLINK("https://www.lyellcollection.org/toc/sp/221/1")</f>
        <v>https://www.lyellcollection.org/toc/sp/221/1</v>
      </c>
      <c r="F281" s="19" t="s">
        <v>611</v>
      </c>
      <c r="G281" s="31" t="s">
        <v>1515</v>
      </c>
      <c r="H281" s="31" t="s">
        <v>1516</v>
      </c>
      <c r="I281" s="31" t="s">
        <v>1517</v>
      </c>
    </row>
    <row r="282" spans="1:9" s="12" customFormat="1" ht="31.2" customHeight="1" x14ac:dyDescent="0.2">
      <c r="A282" s="30" t="s">
        <v>849</v>
      </c>
      <c r="B282" s="33" t="s">
        <v>850</v>
      </c>
      <c r="C282" s="26">
        <v>2003</v>
      </c>
      <c r="D282" s="17" t="s">
        <v>851</v>
      </c>
      <c r="E282" s="29" t="str">
        <f>HYPERLINK("https://www.lyellcollection.org/toc/sp/220/1")</f>
        <v>https://www.lyellcollection.org/toc/sp/220/1</v>
      </c>
      <c r="F282" s="19" t="s">
        <v>611</v>
      </c>
      <c r="G282" s="31" t="s">
        <v>1515</v>
      </c>
      <c r="H282" s="31" t="s">
        <v>1516</v>
      </c>
      <c r="I282" s="31" t="s">
        <v>1517</v>
      </c>
    </row>
    <row r="283" spans="1:9" s="12" customFormat="1" ht="31.2" customHeight="1" x14ac:dyDescent="0.2">
      <c r="A283" s="30" t="s">
        <v>852</v>
      </c>
      <c r="B283" s="33" t="s">
        <v>853</v>
      </c>
      <c r="C283" s="26">
        <v>2003</v>
      </c>
      <c r="D283" s="17" t="s">
        <v>854</v>
      </c>
      <c r="E283" s="29" t="str">
        <f>HYPERLINK("https://www.lyellcollection.org/toc/sp/219/1")</f>
        <v>https://www.lyellcollection.org/toc/sp/219/1</v>
      </c>
      <c r="F283" s="19" t="s">
        <v>611</v>
      </c>
      <c r="G283" s="31" t="s">
        <v>1515</v>
      </c>
      <c r="H283" s="31" t="s">
        <v>1516</v>
      </c>
      <c r="I283" s="31" t="s">
        <v>1517</v>
      </c>
    </row>
    <row r="284" spans="1:9" s="12" customFormat="1" ht="31.2" customHeight="1" x14ac:dyDescent="0.2">
      <c r="A284" s="30" t="s">
        <v>855</v>
      </c>
      <c r="B284" s="33" t="s">
        <v>856</v>
      </c>
      <c r="C284" s="26">
        <v>2003</v>
      </c>
      <c r="D284" s="17" t="s">
        <v>857</v>
      </c>
      <c r="E284" s="29" t="str">
        <f>HYPERLINK("https://www.lyellcollection.org/toc/sp/218/1")</f>
        <v>https://www.lyellcollection.org/toc/sp/218/1</v>
      </c>
      <c r="F284" s="19" t="s">
        <v>611</v>
      </c>
      <c r="G284" s="31" t="s">
        <v>1515</v>
      </c>
      <c r="H284" s="31" t="s">
        <v>1516</v>
      </c>
      <c r="I284" s="31" t="s">
        <v>1517</v>
      </c>
    </row>
    <row r="285" spans="1:9" s="12" customFormat="1" ht="31.2" customHeight="1" x14ac:dyDescent="0.2">
      <c r="A285" s="30" t="s">
        <v>858</v>
      </c>
      <c r="B285" s="33" t="s">
        <v>859</v>
      </c>
      <c r="C285" s="26">
        <v>2003</v>
      </c>
      <c r="D285" s="17" t="s">
        <v>860</v>
      </c>
      <c r="E285" s="29" t="str">
        <f>HYPERLINK("https://www.lyellcollection.org/toc/sp/217/1")</f>
        <v>https://www.lyellcollection.org/toc/sp/217/1</v>
      </c>
      <c r="F285" s="19" t="s">
        <v>611</v>
      </c>
      <c r="G285" s="31" t="s">
        <v>1515</v>
      </c>
      <c r="H285" s="31" t="s">
        <v>1516</v>
      </c>
      <c r="I285" s="31" t="s">
        <v>1517</v>
      </c>
    </row>
    <row r="286" spans="1:9" s="12" customFormat="1" ht="31.2" customHeight="1" x14ac:dyDescent="0.2">
      <c r="A286" s="30" t="s">
        <v>861</v>
      </c>
      <c r="B286" s="33" t="s">
        <v>862</v>
      </c>
      <c r="C286" s="26">
        <v>2003</v>
      </c>
      <c r="D286" s="17" t="s">
        <v>863</v>
      </c>
      <c r="E286" s="29" t="str">
        <f>HYPERLINK("https://www.lyellcollection.org/toc/sp/216/1")</f>
        <v>https://www.lyellcollection.org/toc/sp/216/1</v>
      </c>
      <c r="F286" s="19" t="s">
        <v>611</v>
      </c>
      <c r="G286" s="31" t="s">
        <v>1515</v>
      </c>
      <c r="H286" s="31" t="s">
        <v>1516</v>
      </c>
      <c r="I286" s="31" t="s">
        <v>1517</v>
      </c>
    </row>
    <row r="287" spans="1:9" s="12" customFormat="1" ht="31.2" customHeight="1" x14ac:dyDescent="0.2">
      <c r="A287" s="30" t="s">
        <v>864</v>
      </c>
      <c r="B287" s="33" t="s">
        <v>865</v>
      </c>
      <c r="C287" s="26">
        <v>2003</v>
      </c>
      <c r="D287" s="17" t="s">
        <v>866</v>
      </c>
      <c r="E287" s="29" t="str">
        <f>HYPERLINK("https://www.lyellcollection.org/toc/sp/215/1")</f>
        <v>https://www.lyellcollection.org/toc/sp/215/1</v>
      </c>
      <c r="F287" s="19" t="s">
        <v>611</v>
      </c>
      <c r="G287" s="31" t="s">
        <v>1515</v>
      </c>
      <c r="H287" s="31" t="s">
        <v>1516</v>
      </c>
      <c r="I287" s="31" t="s">
        <v>1517</v>
      </c>
    </row>
    <row r="288" spans="1:9" s="12" customFormat="1" ht="31.2" customHeight="1" x14ac:dyDescent="0.2">
      <c r="A288" s="30" t="s">
        <v>867</v>
      </c>
      <c r="B288" s="33" t="s">
        <v>868</v>
      </c>
      <c r="C288" s="26">
        <v>2003</v>
      </c>
      <c r="D288" s="17" t="s">
        <v>869</v>
      </c>
      <c r="E288" s="29" t="str">
        <f>HYPERLINK("https://www.lyellcollection.org/toc/sp/214/1")</f>
        <v>https://www.lyellcollection.org/toc/sp/214/1</v>
      </c>
      <c r="F288" s="19" t="s">
        <v>611</v>
      </c>
      <c r="G288" s="31" t="s">
        <v>1515</v>
      </c>
      <c r="H288" s="31" t="s">
        <v>1516</v>
      </c>
      <c r="I288" s="31" t="s">
        <v>1517</v>
      </c>
    </row>
    <row r="289" spans="1:9" s="12" customFormat="1" ht="31.2" customHeight="1" x14ac:dyDescent="0.2">
      <c r="A289" s="30" t="s">
        <v>870</v>
      </c>
      <c r="B289" s="33" t="s">
        <v>871</v>
      </c>
      <c r="C289" s="26">
        <v>2003</v>
      </c>
      <c r="D289" s="17" t="s">
        <v>872</v>
      </c>
      <c r="E289" s="29" t="str">
        <f>HYPERLINK("https://www.lyellcollection.org/toc/sp/213/1")</f>
        <v>https://www.lyellcollection.org/toc/sp/213/1</v>
      </c>
      <c r="F289" s="19" t="s">
        <v>611</v>
      </c>
      <c r="G289" s="31" t="s">
        <v>1515</v>
      </c>
      <c r="H289" s="31" t="s">
        <v>1516</v>
      </c>
      <c r="I289" s="31" t="s">
        <v>1517</v>
      </c>
    </row>
    <row r="290" spans="1:9" s="12" customFormat="1" ht="31.2" customHeight="1" x14ac:dyDescent="0.2">
      <c r="A290" s="30" t="s">
        <v>873</v>
      </c>
      <c r="B290" s="33" t="s">
        <v>874</v>
      </c>
      <c r="C290" s="26">
        <v>2003</v>
      </c>
      <c r="D290" s="17" t="s">
        <v>875</v>
      </c>
      <c r="E290" s="29" t="str">
        <f>HYPERLINK("https://www.lyellcollection.org/toc/sp/212/1")</f>
        <v>https://www.lyellcollection.org/toc/sp/212/1</v>
      </c>
      <c r="F290" s="19" t="s">
        <v>611</v>
      </c>
      <c r="G290" s="31" t="s">
        <v>1515</v>
      </c>
      <c r="H290" s="31" t="s">
        <v>1516</v>
      </c>
      <c r="I290" s="31" t="s">
        <v>1517</v>
      </c>
    </row>
    <row r="291" spans="1:9" s="12" customFormat="1" ht="31.2" customHeight="1" x14ac:dyDescent="0.2">
      <c r="A291" s="30" t="s">
        <v>876</v>
      </c>
      <c r="B291" s="33" t="s">
        <v>877</v>
      </c>
      <c r="C291" s="26">
        <v>2003</v>
      </c>
      <c r="D291" s="17" t="s">
        <v>878</v>
      </c>
      <c r="E291" s="29" t="str">
        <f>HYPERLINK("https://www.lyellcollection.org/toc/sp/211/1")</f>
        <v>https://www.lyellcollection.org/toc/sp/211/1</v>
      </c>
      <c r="F291" s="19" t="s">
        <v>611</v>
      </c>
      <c r="G291" s="31" t="s">
        <v>1515</v>
      </c>
      <c r="H291" s="31" t="s">
        <v>1516</v>
      </c>
      <c r="I291" s="31" t="s">
        <v>1517</v>
      </c>
    </row>
    <row r="292" spans="1:9" s="12" customFormat="1" ht="31.2" customHeight="1" x14ac:dyDescent="0.2">
      <c r="A292" s="30" t="s">
        <v>879</v>
      </c>
      <c r="B292" s="33" t="s">
        <v>880</v>
      </c>
      <c r="C292" s="26">
        <v>2003</v>
      </c>
      <c r="D292" s="17" t="s">
        <v>881</v>
      </c>
      <c r="E292" s="29" t="str">
        <f>HYPERLINK("https://www.lyellcollection.org/toc/sp/210/1")</f>
        <v>https://www.lyellcollection.org/toc/sp/210/1</v>
      </c>
      <c r="F292" s="19" t="s">
        <v>611</v>
      </c>
      <c r="G292" s="31" t="s">
        <v>1515</v>
      </c>
      <c r="H292" s="31" t="s">
        <v>1516</v>
      </c>
      <c r="I292" s="31" t="s">
        <v>1517</v>
      </c>
    </row>
    <row r="293" spans="1:9" s="12" customFormat="1" ht="31.2" customHeight="1" x14ac:dyDescent="0.2">
      <c r="A293" s="30" t="s">
        <v>882</v>
      </c>
      <c r="B293" s="33" t="s">
        <v>883</v>
      </c>
      <c r="C293" s="26">
        <v>2003</v>
      </c>
      <c r="D293" s="17" t="s">
        <v>884</v>
      </c>
      <c r="E293" s="29" t="str">
        <f>HYPERLINK("https://www.lyellcollection.org/toc/sp/209/1")</f>
        <v>https://www.lyellcollection.org/toc/sp/209/1</v>
      </c>
      <c r="F293" s="19" t="s">
        <v>611</v>
      </c>
      <c r="G293" s="31" t="s">
        <v>1515</v>
      </c>
      <c r="H293" s="31" t="s">
        <v>1516</v>
      </c>
      <c r="I293" s="31" t="s">
        <v>1517</v>
      </c>
    </row>
    <row r="294" spans="1:9" s="12" customFormat="1" ht="31.2" customHeight="1" x14ac:dyDescent="0.2">
      <c r="A294" s="30" t="s">
        <v>885</v>
      </c>
      <c r="B294" s="33" t="s">
        <v>886</v>
      </c>
      <c r="C294" s="26">
        <v>2003</v>
      </c>
      <c r="D294" s="17" t="s">
        <v>887</v>
      </c>
      <c r="E294" s="29" t="str">
        <f>HYPERLINK("https://www.lyellcollection.org/toc/sp/208/1")</f>
        <v>https://www.lyellcollection.org/toc/sp/208/1</v>
      </c>
      <c r="F294" s="19" t="s">
        <v>611</v>
      </c>
      <c r="G294" s="31" t="s">
        <v>1515</v>
      </c>
      <c r="H294" s="31" t="s">
        <v>1516</v>
      </c>
      <c r="I294" s="31" t="s">
        <v>1517</v>
      </c>
    </row>
    <row r="295" spans="1:9" s="12" customFormat="1" ht="31.2" customHeight="1" x14ac:dyDescent="0.2">
      <c r="A295" s="30" t="s">
        <v>888</v>
      </c>
      <c r="B295" s="33" t="s">
        <v>889</v>
      </c>
      <c r="C295" s="26">
        <v>2003</v>
      </c>
      <c r="D295" s="17" t="s">
        <v>890</v>
      </c>
      <c r="E295" s="29" t="str">
        <f>HYPERLINK("https://www.lyellcollection.org/toc/sp/207/1")</f>
        <v>https://www.lyellcollection.org/toc/sp/207/1</v>
      </c>
      <c r="F295" s="19" t="s">
        <v>611</v>
      </c>
      <c r="G295" s="31" t="s">
        <v>1515</v>
      </c>
      <c r="H295" s="31" t="s">
        <v>1516</v>
      </c>
      <c r="I295" s="31" t="s">
        <v>1517</v>
      </c>
    </row>
    <row r="296" spans="1:9" s="12" customFormat="1" ht="31.2" customHeight="1" x14ac:dyDescent="0.2">
      <c r="A296" s="30" t="s">
        <v>891</v>
      </c>
      <c r="B296" s="33" t="s">
        <v>892</v>
      </c>
      <c r="C296" s="26">
        <v>2003</v>
      </c>
      <c r="D296" s="17" t="s">
        <v>893</v>
      </c>
      <c r="E296" s="29" t="str">
        <f>HYPERLINK("https://www.lyellcollection.org/toc/sp/206/1")</f>
        <v>https://www.lyellcollection.org/toc/sp/206/1</v>
      </c>
      <c r="F296" s="19" t="s">
        <v>611</v>
      </c>
      <c r="G296" s="31" t="s">
        <v>1515</v>
      </c>
      <c r="H296" s="31" t="s">
        <v>1516</v>
      </c>
      <c r="I296" s="31" t="s">
        <v>1517</v>
      </c>
    </row>
    <row r="297" spans="1:9" s="12" customFormat="1" ht="31.2" customHeight="1" x14ac:dyDescent="0.2">
      <c r="A297" s="30" t="s">
        <v>894</v>
      </c>
      <c r="B297" s="33" t="s">
        <v>895</v>
      </c>
      <c r="C297" s="26">
        <v>2002</v>
      </c>
      <c r="D297" s="17" t="s">
        <v>896</v>
      </c>
      <c r="E297" s="29" t="str">
        <f>HYPERLINK("https://www.lyellcollection.org/toc/sp/205/1")</f>
        <v>https://www.lyellcollection.org/toc/sp/205/1</v>
      </c>
      <c r="F297" s="19" t="s">
        <v>611</v>
      </c>
      <c r="G297" s="31" t="s">
        <v>1515</v>
      </c>
      <c r="H297" s="31" t="s">
        <v>1516</v>
      </c>
      <c r="I297" s="31" t="s">
        <v>1517</v>
      </c>
    </row>
    <row r="298" spans="1:9" s="12" customFormat="1" ht="31.2" customHeight="1" x14ac:dyDescent="0.2">
      <c r="A298" s="30" t="s">
        <v>897</v>
      </c>
      <c r="B298" s="33" t="s">
        <v>898</v>
      </c>
      <c r="C298" s="26">
        <v>2002</v>
      </c>
      <c r="D298" s="17" t="s">
        <v>899</v>
      </c>
      <c r="E298" s="29" t="str">
        <f>HYPERLINK("https://www.lyellcollection.org/toc/sp/204/1")</f>
        <v>https://www.lyellcollection.org/toc/sp/204/1</v>
      </c>
      <c r="F298" s="19" t="s">
        <v>611</v>
      </c>
      <c r="G298" s="31" t="s">
        <v>1515</v>
      </c>
      <c r="H298" s="31" t="s">
        <v>1516</v>
      </c>
      <c r="I298" s="31" t="s">
        <v>1517</v>
      </c>
    </row>
    <row r="299" spans="1:9" s="12" customFormat="1" ht="31.2" customHeight="1" x14ac:dyDescent="0.2">
      <c r="A299" s="30" t="s">
        <v>900</v>
      </c>
      <c r="B299" s="33" t="s">
        <v>901</v>
      </c>
      <c r="C299" s="26">
        <v>2002</v>
      </c>
      <c r="D299" s="17" t="s">
        <v>902</v>
      </c>
      <c r="E299" s="29" t="str">
        <f>HYPERLINK("https://www.lyellcollection.org/toc/sp/203/1")</f>
        <v>https://www.lyellcollection.org/toc/sp/203/1</v>
      </c>
      <c r="F299" s="19" t="s">
        <v>611</v>
      </c>
      <c r="G299" s="31" t="s">
        <v>1515</v>
      </c>
      <c r="H299" s="31" t="s">
        <v>1516</v>
      </c>
      <c r="I299" s="31" t="s">
        <v>1517</v>
      </c>
    </row>
    <row r="300" spans="1:9" s="12" customFormat="1" ht="31.2" customHeight="1" x14ac:dyDescent="0.2">
      <c r="A300" s="30" t="s">
        <v>903</v>
      </c>
      <c r="B300" s="33" t="s">
        <v>904</v>
      </c>
      <c r="C300" s="26">
        <v>2002</v>
      </c>
      <c r="D300" s="17" t="s">
        <v>905</v>
      </c>
      <c r="E300" s="29" t="str">
        <f>HYPERLINK("https://www.lyellcollection.org/toc/sp/202/1")</f>
        <v>https://www.lyellcollection.org/toc/sp/202/1</v>
      </c>
      <c r="F300" s="19" t="s">
        <v>611</v>
      </c>
      <c r="G300" s="31" t="s">
        <v>1515</v>
      </c>
      <c r="H300" s="31" t="s">
        <v>1516</v>
      </c>
      <c r="I300" s="31" t="s">
        <v>1517</v>
      </c>
    </row>
    <row r="301" spans="1:9" s="12" customFormat="1" ht="31.2" customHeight="1" x14ac:dyDescent="0.2">
      <c r="A301" s="30" t="s">
        <v>906</v>
      </c>
      <c r="B301" s="33" t="s">
        <v>907</v>
      </c>
      <c r="C301" s="26">
        <v>2002</v>
      </c>
      <c r="D301" s="17" t="s">
        <v>908</v>
      </c>
      <c r="E301" s="29" t="str">
        <f>HYPERLINK("https://www.lyellcollection.org/toc/sp/201/1")</f>
        <v>https://www.lyellcollection.org/toc/sp/201/1</v>
      </c>
      <c r="F301" s="19" t="s">
        <v>611</v>
      </c>
      <c r="G301" s="31" t="s">
        <v>1515</v>
      </c>
      <c r="H301" s="31" t="s">
        <v>1516</v>
      </c>
      <c r="I301" s="31" t="s">
        <v>1517</v>
      </c>
    </row>
    <row r="302" spans="1:9" s="12" customFormat="1" ht="31.2" customHeight="1" x14ac:dyDescent="0.2">
      <c r="A302" s="30" t="s">
        <v>909</v>
      </c>
      <c r="B302" s="33" t="s">
        <v>910</v>
      </c>
      <c r="C302" s="26">
        <v>2002</v>
      </c>
      <c r="D302" s="17" t="s">
        <v>911</v>
      </c>
      <c r="E302" s="29" t="str">
        <f>HYPERLINK("https://www.lyellcollection.org/toc/sp/200/1")</f>
        <v>https://www.lyellcollection.org/toc/sp/200/1</v>
      </c>
      <c r="F302" s="19" t="s">
        <v>912</v>
      </c>
      <c r="G302" s="31" t="s">
        <v>1515</v>
      </c>
      <c r="H302" s="31" t="s">
        <v>1516</v>
      </c>
      <c r="I302" s="31" t="s">
        <v>1517</v>
      </c>
    </row>
    <row r="303" spans="1:9" s="12" customFormat="1" ht="31.2" customHeight="1" x14ac:dyDescent="0.2">
      <c r="A303" s="30" t="s">
        <v>913</v>
      </c>
      <c r="B303" s="33" t="s">
        <v>914</v>
      </c>
      <c r="C303" s="26">
        <v>2002</v>
      </c>
      <c r="D303" s="17" t="s">
        <v>915</v>
      </c>
      <c r="E303" s="29" t="str">
        <f>HYPERLINK("https://www.lyellcollection.org/toc/sp/199/1")</f>
        <v>https://www.lyellcollection.org/toc/sp/199/1</v>
      </c>
      <c r="F303" s="19" t="s">
        <v>912</v>
      </c>
      <c r="G303" s="31" t="s">
        <v>1515</v>
      </c>
      <c r="H303" s="31" t="s">
        <v>1516</v>
      </c>
      <c r="I303" s="31" t="s">
        <v>1517</v>
      </c>
    </row>
    <row r="304" spans="1:9" s="12" customFormat="1" ht="31.2" customHeight="1" x14ac:dyDescent="0.2">
      <c r="A304" s="30" t="s">
        <v>916</v>
      </c>
      <c r="B304" s="33" t="s">
        <v>917</v>
      </c>
      <c r="C304" s="26">
        <v>2002</v>
      </c>
      <c r="D304" s="17" t="s">
        <v>918</v>
      </c>
      <c r="E304" s="29" t="str">
        <f>HYPERLINK("https://www.lyellcollection.org/toc/sp/198/1")</f>
        <v>https://www.lyellcollection.org/toc/sp/198/1</v>
      </c>
      <c r="F304" s="19" t="s">
        <v>912</v>
      </c>
      <c r="G304" s="31" t="s">
        <v>1515</v>
      </c>
      <c r="H304" s="31" t="s">
        <v>1516</v>
      </c>
      <c r="I304" s="31" t="s">
        <v>1517</v>
      </c>
    </row>
    <row r="305" spans="1:9" s="12" customFormat="1" ht="31.2" customHeight="1" x14ac:dyDescent="0.2">
      <c r="A305" s="30" t="s">
        <v>919</v>
      </c>
      <c r="B305" s="33" t="s">
        <v>920</v>
      </c>
      <c r="C305" s="26">
        <v>2002</v>
      </c>
      <c r="D305" s="17" t="s">
        <v>921</v>
      </c>
      <c r="E305" s="29" t="str">
        <f>HYPERLINK("https://www.lyellcollection.org/toc/sp/197/1")</f>
        <v>https://www.lyellcollection.org/toc/sp/197/1</v>
      </c>
      <c r="F305" s="19" t="s">
        <v>912</v>
      </c>
      <c r="G305" s="31" t="s">
        <v>1515</v>
      </c>
      <c r="H305" s="31" t="s">
        <v>1516</v>
      </c>
      <c r="I305" s="31" t="s">
        <v>1517</v>
      </c>
    </row>
    <row r="306" spans="1:9" s="12" customFormat="1" ht="31.2" customHeight="1" x14ac:dyDescent="0.2">
      <c r="A306" s="30" t="s">
        <v>922</v>
      </c>
      <c r="B306" s="33" t="s">
        <v>923</v>
      </c>
      <c r="C306" s="26">
        <v>2002</v>
      </c>
      <c r="D306" s="17" t="s">
        <v>924</v>
      </c>
      <c r="E306" s="29" t="str">
        <f>HYPERLINK("https://www.lyellcollection.org/toc/sp/196/1")</f>
        <v>https://www.lyellcollection.org/toc/sp/196/1</v>
      </c>
      <c r="F306" s="19" t="s">
        <v>912</v>
      </c>
      <c r="G306" s="31" t="s">
        <v>1515</v>
      </c>
      <c r="H306" s="31" t="s">
        <v>1516</v>
      </c>
      <c r="I306" s="31" t="s">
        <v>1517</v>
      </c>
    </row>
    <row r="307" spans="1:9" s="12" customFormat="1" ht="31.2" customHeight="1" x14ac:dyDescent="0.2">
      <c r="A307" s="30" t="s">
        <v>925</v>
      </c>
      <c r="B307" s="33" t="s">
        <v>926</v>
      </c>
      <c r="C307" s="26">
        <v>2002</v>
      </c>
      <c r="D307" s="17" t="s">
        <v>927</v>
      </c>
      <c r="E307" s="29" t="str">
        <f>HYPERLINK("https://www.lyellcollection.org/toc/sp/195/1")</f>
        <v>https://www.lyellcollection.org/toc/sp/195/1</v>
      </c>
      <c r="F307" s="19" t="s">
        <v>912</v>
      </c>
      <c r="G307" s="31" t="s">
        <v>1515</v>
      </c>
      <c r="H307" s="31" t="s">
        <v>1516</v>
      </c>
      <c r="I307" s="31" t="s">
        <v>1517</v>
      </c>
    </row>
    <row r="308" spans="1:9" s="12" customFormat="1" ht="31.2" customHeight="1" x14ac:dyDescent="0.2">
      <c r="A308" s="30" t="s">
        <v>1508</v>
      </c>
      <c r="B308" s="33" t="s">
        <v>928</v>
      </c>
      <c r="C308" s="26">
        <v>2002</v>
      </c>
      <c r="D308" s="17" t="s">
        <v>929</v>
      </c>
      <c r="E308" s="29" t="str">
        <f>HYPERLINK("https://www.lyellcollection.org/toc/sp/194/1")</f>
        <v>https://www.lyellcollection.org/toc/sp/194/1</v>
      </c>
      <c r="F308" s="19" t="s">
        <v>912</v>
      </c>
      <c r="G308" s="31" t="s">
        <v>1515</v>
      </c>
      <c r="H308" s="31" t="s">
        <v>1516</v>
      </c>
      <c r="I308" s="31" t="s">
        <v>1517</v>
      </c>
    </row>
    <row r="309" spans="1:9" s="12" customFormat="1" ht="31.2" customHeight="1" x14ac:dyDescent="0.2">
      <c r="A309" s="30" t="s">
        <v>930</v>
      </c>
      <c r="B309" s="33" t="s">
        <v>931</v>
      </c>
      <c r="C309" s="26">
        <v>2002</v>
      </c>
      <c r="D309" s="17" t="s">
        <v>932</v>
      </c>
      <c r="E309" s="29" t="str">
        <f>HYPERLINK("https://www.lyellcollection.org/toc/sp/193/1")</f>
        <v>https://www.lyellcollection.org/toc/sp/193/1</v>
      </c>
      <c r="F309" s="19" t="s">
        <v>912</v>
      </c>
      <c r="G309" s="31" t="s">
        <v>1515</v>
      </c>
      <c r="H309" s="31" t="s">
        <v>1516</v>
      </c>
      <c r="I309" s="31" t="s">
        <v>1517</v>
      </c>
    </row>
    <row r="310" spans="1:9" s="12" customFormat="1" ht="31.2" customHeight="1" x14ac:dyDescent="0.2">
      <c r="A310" s="30" t="s">
        <v>933</v>
      </c>
      <c r="B310" s="33" t="s">
        <v>934</v>
      </c>
      <c r="C310" s="26">
        <v>2002</v>
      </c>
      <c r="D310" s="17" t="s">
        <v>935</v>
      </c>
      <c r="E310" s="29" t="str">
        <f>HYPERLINK("https://www.lyellcollection.org/toc/sp/192/1")</f>
        <v>https://www.lyellcollection.org/toc/sp/192/1</v>
      </c>
      <c r="F310" s="19" t="s">
        <v>912</v>
      </c>
      <c r="G310" s="31" t="s">
        <v>1515</v>
      </c>
      <c r="H310" s="31" t="s">
        <v>1516</v>
      </c>
      <c r="I310" s="31" t="s">
        <v>1517</v>
      </c>
    </row>
    <row r="311" spans="1:9" s="12" customFormat="1" ht="31.2" customHeight="1" x14ac:dyDescent="0.2">
      <c r="A311" s="30" t="s">
        <v>936</v>
      </c>
      <c r="B311" s="33" t="s">
        <v>937</v>
      </c>
      <c r="C311" s="26">
        <v>2002</v>
      </c>
      <c r="D311" s="17" t="s">
        <v>938</v>
      </c>
      <c r="E311" s="29" t="str">
        <f>HYPERLINK("https://www.lyellcollection.org/toc/sp/191/1")</f>
        <v>https://www.lyellcollection.org/toc/sp/191/1</v>
      </c>
      <c r="F311" s="19" t="s">
        <v>912</v>
      </c>
      <c r="G311" s="31" t="s">
        <v>1515</v>
      </c>
      <c r="H311" s="31" t="s">
        <v>1516</v>
      </c>
      <c r="I311" s="31" t="s">
        <v>1517</v>
      </c>
    </row>
    <row r="312" spans="1:9" s="12" customFormat="1" ht="31.2" customHeight="1" x14ac:dyDescent="0.2">
      <c r="A312" s="30" t="s">
        <v>939</v>
      </c>
      <c r="B312" s="33" t="s">
        <v>940</v>
      </c>
      <c r="C312" s="26">
        <v>2001</v>
      </c>
      <c r="D312" s="17" t="s">
        <v>941</v>
      </c>
      <c r="E312" s="29" t="str">
        <f>HYPERLINK("https://www.lyellcollection.org/toc/sp/190/1")</f>
        <v>https://www.lyellcollection.org/toc/sp/190/1</v>
      </c>
      <c r="F312" s="19" t="s">
        <v>912</v>
      </c>
      <c r="G312" s="31" t="s">
        <v>1515</v>
      </c>
      <c r="H312" s="31" t="s">
        <v>1516</v>
      </c>
      <c r="I312" s="31" t="s">
        <v>1517</v>
      </c>
    </row>
    <row r="313" spans="1:9" s="12" customFormat="1" ht="31.2" customHeight="1" x14ac:dyDescent="0.2">
      <c r="A313" s="37" t="s">
        <v>942</v>
      </c>
      <c r="B313" s="33" t="s">
        <v>943</v>
      </c>
      <c r="C313" s="26">
        <v>2001</v>
      </c>
      <c r="D313" s="17" t="s">
        <v>944</v>
      </c>
      <c r="E313" s="29" t="str">
        <f>HYPERLINK("https://www.lyellcollection.org/toc/sp/189/1")</f>
        <v>https://www.lyellcollection.org/toc/sp/189/1</v>
      </c>
      <c r="F313" s="19" t="s">
        <v>912</v>
      </c>
      <c r="G313" s="31" t="s">
        <v>1515</v>
      </c>
      <c r="H313" s="31" t="s">
        <v>1516</v>
      </c>
      <c r="I313" s="31" t="s">
        <v>1517</v>
      </c>
    </row>
    <row r="314" spans="1:9" s="12" customFormat="1" ht="31.2" customHeight="1" x14ac:dyDescent="0.2">
      <c r="A314" s="30" t="s">
        <v>945</v>
      </c>
      <c r="B314" s="33" t="s">
        <v>946</v>
      </c>
      <c r="C314" s="26">
        <v>2001</v>
      </c>
      <c r="D314" s="17" t="s">
        <v>947</v>
      </c>
      <c r="E314" s="29" t="str">
        <f>HYPERLINK("https://www.lyellcollection.org/toc/sp/188/1")</f>
        <v>https://www.lyellcollection.org/toc/sp/188/1</v>
      </c>
      <c r="F314" s="19" t="s">
        <v>912</v>
      </c>
      <c r="G314" s="31" t="s">
        <v>1515</v>
      </c>
      <c r="H314" s="31" t="s">
        <v>1516</v>
      </c>
      <c r="I314" s="31" t="s">
        <v>1517</v>
      </c>
    </row>
    <row r="315" spans="1:9" s="12" customFormat="1" ht="31.2" customHeight="1" x14ac:dyDescent="0.2">
      <c r="A315" s="37" t="s">
        <v>948</v>
      </c>
      <c r="B315" s="33" t="s">
        <v>949</v>
      </c>
      <c r="C315" s="26">
        <v>2001</v>
      </c>
      <c r="D315" s="17" t="s">
        <v>950</v>
      </c>
      <c r="E315" s="29" t="str">
        <f>HYPERLINK("https://www.lyellcollection.org/toc/sp/187/1")</f>
        <v>https://www.lyellcollection.org/toc/sp/187/1</v>
      </c>
      <c r="F315" s="19" t="s">
        <v>912</v>
      </c>
      <c r="G315" s="31" t="s">
        <v>1515</v>
      </c>
      <c r="H315" s="31" t="s">
        <v>1516</v>
      </c>
      <c r="I315" s="31" t="s">
        <v>1517</v>
      </c>
    </row>
    <row r="316" spans="1:9" s="12" customFormat="1" ht="31.2" customHeight="1" x14ac:dyDescent="0.2">
      <c r="A316" s="30" t="s">
        <v>951</v>
      </c>
      <c r="B316" s="33" t="s">
        <v>952</v>
      </c>
      <c r="C316" s="26">
        <v>2001</v>
      </c>
      <c r="D316" s="17" t="s">
        <v>953</v>
      </c>
      <c r="E316" s="29" t="str">
        <f>HYPERLINK("https://www.lyellcollection.org/toc/sp/186/1")</f>
        <v>https://www.lyellcollection.org/toc/sp/186/1</v>
      </c>
      <c r="F316" s="19" t="s">
        <v>912</v>
      </c>
      <c r="G316" s="31" t="s">
        <v>1515</v>
      </c>
      <c r="H316" s="31" t="s">
        <v>1516</v>
      </c>
      <c r="I316" s="31" t="s">
        <v>1517</v>
      </c>
    </row>
    <row r="317" spans="1:9" s="12" customFormat="1" ht="31.2" customHeight="1" x14ac:dyDescent="0.2">
      <c r="A317" s="37" t="s">
        <v>954</v>
      </c>
      <c r="B317" s="33" t="s">
        <v>955</v>
      </c>
      <c r="C317" s="26">
        <v>2001</v>
      </c>
      <c r="D317" s="17" t="s">
        <v>956</v>
      </c>
      <c r="E317" s="29" t="str">
        <f>HYPERLINK("https://www.lyellcollection.org/toc/sp/185/1")</f>
        <v>https://www.lyellcollection.org/toc/sp/185/1</v>
      </c>
      <c r="F317" s="19" t="s">
        <v>912</v>
      </c>
      <c r="G317" s="31" t="s">
        <v>1515</v>
      </c>
      <c r="H317" s="31" t="s">
        <v>1516</v>
      </c>
      <c r="I317" s="31" t="s">
        <v>1517</v>
      </c>
    </row>
    <row r="318" spans="1:9" s="12" customFormat="1" ht="31.2" customHeight="1" x14ac:dyDescent="0.2">
      <c r="A318" s="30" t="s">
        <v>957</v>
      </c>
      <c r="B318" s="33" t="s">
        <v>958</v>
      </c>
      <c r="C318" s="26">
        <v>2001</v>
      </c>
      <c r="D318" s="17" t="s">
        <v>959</v>
      </c>
      <c r="E318" s="29" t="str">
        <f>HYPERLINK("https://www.lyellcollection.org/toc/sp/184/1")</f>
        <v>https://www.lyellcollection.org/toc/sp/184/1</v>
      </c>
      <c r="F318" s="19" t="s">
        <v>912</v>
      </c>
      <c r="G318" s="31" t="s">
        <v>1515</v>
      </c>
      <c r="H318" s="31" t="s">
        <v>1516</v>
      </c>
      <c r="I318" s="31" t="s">
        <v>1517</v>
      </c>
    </row>
    <row r="319" spans="1:9" s="12" customFormat="1" ht="31.2" customHeight="1" x14ac:dyDescent="0.2">
      <c r="A319" s="37" t="s">
        <v>960</v>
      </c>
      <c r="B319" s="33" t="s">
        <v>961</v>
      </c>
      <c r="C319" s="26">
        <v>2001</v>
      </c>
      <c r="D319" s="17" t="s">
        <v>962</v>
      </c>
      <c r="E319" s="29" t="str">
        <f>HYPERLINK("https://www.lyellcollection.org/toc/sp/183/1")</f>
        <v>https://www.lyellcollection.org/toc/sp/183/1</v>
      </c>
      <c r="F319" s="19" t="s">
        <v>912</v>
      </c>
      <c r="G319" s="31" t="s">
        <v>1515</v>
      </c>
      <c r="H319" s="31" t="s">
        <v>1516</v>
      </c>
      <c r="I319" s="31" t="s">
        <v>1517</v>
      </c>
    </row>
    <row r="320" spans="1:9" s="12" customFormat="1" ht="31.2" customHeight="1" x14ac:dyDescent="0.2">
      <c r="A320" s="30" t="s">
        <v>963</v>
      </c>
      <c r="B320" s="33" t="s">
        <v>964</v>
      </c>
      <c r="C320" s="26">
        <v>2000</v>
      </c>
      <c r="D320" s="17" t="s">
        <v>965</v>
      </c>
      <c r="E320" s="29" t="str">
        <f>HYPERLINK("https://www.lyellcollection.org/toc/sp/182/1")</f>
        <v>https://www.lyellcollection.org/toc/sp/182/1</v>
      </c>
      <c r="F320" s="19" t="s">
        <v>912</v>
      </c>
      <c r="G320" s="31" t="s">
        <v>1515</v>
      </c>
      <c r="H320" s="31" t="s">
        <v>1516</v>
      </c>
      <c r="I320" s="31" t="s">
        <v>1517</v>
      </c>
    </row>
    <row r="321" spans="1:9" s="12" customFormat="1" ht="31.2" customHeight="1" x14ac:dyDescent="0.2">
      <c r="A321" s="37" t="s">
        <v>966</v>
      </c>
      <c r="B321" s="33" t="s">
        <v>967</v>
      </c>
      <c r="C321" s="26">
        <v>2000</v>
      </c>
      <c r="D321" s="17" t="s">
        <v>968</v>
      </c>
      <c r="E321" s="29" t="str">
        <f>HYPERLINK("https://www.lyellcollection.org/toc/sp/181/1")</f>
        <v>https://www.lyellcollection.org/toc/sp/181/1</v>
      </c>
      <c r="F321" s="19" t="s">
        <v>912</v>
      </c>
      <c r="G321" s="31" t="s">
        <v>1515</v>
      </c>
      <c r="H321" s="31" t="s">
        <v>1516</v>
      </c>
      <c r="I321" s="31" t="s">
        <v>1517</v>
      </c>
    </row>
    <row r="322" spans="1:9" s="12" customFormat="1" ht="31.2" customHeight="1" x14ac:dyDescent="0.2">
      <c r="A322" s="30" t="s">
        <v>969</v>
      </c>
      <c r="B322" s="33" t="s">
        <v>970</v>
      </c>
      <c r="C322" s="26">
        <v>2000</v>
      </c>
      <c r="D322" s="17" t="s">
        <v>971</v>
      </c>
      <c r="E322" s="29" t="str">
        <f>HYPERLINK("https://www.lyellcollection.org/toc/sp/180/1")</f>
        <v>https://www.lyellcollection.org/toc/sp/180/1</v>
      </c>
      <c r="F322" s="19" t="s">
        <v>912</v>
      </c>
      <c r="G322" s="31" t="s">
        <v>1515</v>
      </c>
      <c r="H322" s="31" t="s">
        <v>1516</v>
      </c>
      <c r="I322" s="31" t="s">
        <v>1517</v>
      </c>
    </row>
    <row r="323" spans="1:9" s="12" customFormat="1" ht="31.2" customHeight="1" x14ac:dyDescent="0.2">
      <c r="A323" s="37" t="s">
        <v>972</v>
      </c>
      <c r="B323" s="33" t="s">
        <v>973</v>
      </c>
      <c r="C323" s="26">
        <v>2000</v>
      </c>
      <c r="D323" s="17" t="s">
        <v>974</v>
      </c>
      <c r="E323" s="29" t="str">
        <f>HYPERLINK("https://www.lyellcollection.org/toc/sp/179/1")</f>
        <v>https://www.lyellcollection.org/toc/sp/179/1</v>
      </c>
      <c r="F323" s="19" t="s">
        <v>912</v>
      </c>
      <c r="G323" s="31" t="s">
        <v>1515</v>
      </c>
      <c r="H323" s="31" t="s">
        <v>1516</v>
      </c>
      <c r="I323" s="31" t="s">
        <v>1517</v>
      </c>
    </row>
    <row r="324" spans="1:9" s="12" customFormat="1" ht="31.2" customHeight="1" x14ac:dyDescent="0.2">
      <c r="A324" s="30" t="s">
        <v>975</v>
      </c>
      <c r="B324" s="33" t="s">
        <v>976</v>
      </c>
      <c r="C324" s="26">
        <v>2000</v>
      </c>
      <c r="D324" s="17" t="s">
        <v>977</v>
      </c>
      <c r="E324" s="29" t="str">
        <f>HYPERLINK("https://www.lyellcollection.org/toc/sp/178/1")</f>
        <v>https://www.lyellcollection.org/toc/sp/178/1</v>
      </c>
      <c r="F324" s="19" t="s">
        <v>912</v>
      </c>
      <c r="G324" s="31" t="s">
        <v>1515</v>
      </c>
      <c r="H324" s="31" t="s">
        <v>1516</v>
      </c>
      <c r="I324" s="31" t="s">
        <v>1517</v>
      </c>
    </row>
    <row r="325" spans="1:9" s="12" customFormat="1" ht="31.2" customHeight="1" x14ac:dyDescent="0.2">
      <c r="A325" s="37" t="s">
        <v>978</v>
      </c>
      <c r="B325" s="33" t="s">
        <v>979</v>
      </c>
      <c r="C325" s="26">
        <v>2000</v>
      </c>
      <c r="D325" s="17" t="s">
        <v>980</v>
      </c>
      <c r="E325" s="29" t="str">
        <f>HYPERLINK("https://www.lyellcollection.org/toc/sp/177/1")</f>
        <v>https://www.lyellcollection.org/toc/sp/177/1</v>
      </c>
      <c r="F325" s="19" t="s">
        <v>912</v>
      </c>
      <c r="G325" s="31" t="s">
        <v>1515</v>
      </c>
      <c r="H325" s="31" t="s">
        <v>1516</v>
      </c>
      <c r="I325" s="31" t="s">
        <v>1517</v>
      </c>
    </row>
    <row r="326" spans="1:9" s="12" customFormat="1" ht="31.2" customHeight="1" x14ac:dyDescent="0.2">
      <c r="A326" s="30" t="s">
        <v>981</v>
      </c>
      <c r="B326" s="33" t="s">
        <v>982</v>
      </c>
      <c r="C326" s="26">
        <v>2000</v>
      </c>
      <c r="D326" s="17" t="s">
        <v>983</v>
      </c>
      <c r="E326" s="29" t="str">
        <f>HYPERLINK("https://www.lyellcollection.org/toc/sp/176/1")</f>
        <v>https://www.lyellcollection.org/toc/sp/176/1</v>
      </c>
      <c r="F326" s="19" t="s">
        <v>912</v>
      </c>
      <c r="G326" s="31" t="s">
        <v>1515</v>
      </c>
      <c r="H326" s="31" t="s">
        <v>1516</v>
      </c>
      <c r="I326" s="31" t="s">
        <v>1517</v>
      </c>
    </row>
    <row r="327" spans="1:9" s="12" customFormat="1" ht="31.2" customHeight="1" x14ac:dyDescent="0.2">
      <c r="A327" s="37" t="s">
        <v>984</v>
      </c>
      <c r="B327" s="33" t="s">
        <v>985</v>
      </c>
      <c r="C327" s="26">
        <v>2000</v>
      </c>
      <c r="D327" s="17" t="s">
        <v>986</v>
      </c>
      <c r="E327" s="29" t="str">
        <f>HYPERLINK("https://www.lyellcollection.org/toc/sp/175/1")</f>
        <v>https://www.lyellcollection.org/toc/sp/175/1</v>
      </c>
      <c r="F327" s="19" t="s">
        <v>912</v>
      </c>
      <c r="G327" s="31" t="s">
        <v>1515</v>
      </c>
      <c r="H327" s="31" t="s">
        <v>1516</v>
      </c>
      <c r="I327" s="31" t="s">
        <v>1517</v>
      </c>
    </row>
    <row r="328" spans="1:9" s="12" customFormat="1" ht="31.2" customHeight="1" x14ac:dyDescent="0.2">
      <c r="A328" s="30" t="s">
        <v>1005</v>
      </c>
      <c r="B328" s="33" t="s">
        <v>1006</v>
      </c>
      <c r="C328" s="26">
        <v>1999</v>
      </c>
      <c r="D328" s="17" t="s">
        <v>1007</v>
      </c>
      <c r="E328" s="29" t="str">
        <f>HYPERLINK("https://www.lyellcollection.org/toc/sp/174/1")</f>
        <v>https://www.lyellcollection.org/toc/sp/174/1</v>
      </c>
      <c r="F328" s="19" t="s">
        <v>912</v>
      </c>
      <c r="G328" s="31" t="s">
        <v>1515</v>
      </c>
      <c r="H328" s="31" t="s">
        <v>1516</v>
      </c>
      <c r="I328" s="31" t="s">
        <v>1517</v>
      </c>
    </row>
    <row r="329" spans="1:9" s="12" customFormat="1" ht="31.2" customHeight="1" x14ac:dyDescent="0.2">
      <c r="A329" s="37" t="s">
        <v>987</v>
      </c>
      <c r="B329" s="33" t="s">
        <v>988</v>
      </c>
      <c r="C329" s="26">
        <v>2000</v>
      </c>
      <c r="D329" s="17" t="s">
        <v>989</v>
      </c>
      <c r="E329" s="29" t="str">
        <f>HYPERLINK("https://www.lyellcollection.org/toc/sp/173/1")</f>
        <v>https://www.lyellcollection.org/toc/sp/173/1</v>
      </c>
      <c r="F329" s="19" t="s">
        <v>912</v>
      </c>
      <c r="G329" s="31" t="s">
        <v>1515</v>
      </c>
      <c r="H329" s="31" t="s">
        <v>1516</v>
      </c>
      <c r="I329" s="31" t="s">
        <v>1517</v>
      </c>
    </row>
    <row r="330" spans="1:9" s="12" customFormat="1" ht="31.2" customHeight="1" x14ac:dyDescent="0.2">
      <c r="A330" s="30" t="s">
        <v>990</v>
      </c>
      <c r="B330" s="33" t="s">
        <v>991</v>
      </c>
      <c r="C330" s="26">
        <v>2000</v>
      </c>
      <c r="D330" s="17" t="s">
        <v>992</v>
      </c>
      <c r="E330" s="29" t="str">
        <f>HYPERLINK("https://www.lyellcollection.org/toc/sp/172/1")</f>
        <v>https://www.lyellcollection.org/toc/sp/172/1</v>
      </c>
      <c r="F330" s="19" t="s">
        <v>912</v>
      </c>
      <c r="G330" s="31" t="s">
        <v>1515</v>
      </c>
      <c r="H330" s="31" t="s">
        <v>1516</v>
      </c>
      <c r="I330" s="31" t="s">
        <v>1517</v>
      </c>
    </row>
    <row r="331" spans="1:9" s="12" customFormat="1" ht="31.2" customHeight="1" x14ac:dyDescent="0.2">
      <c r="A331" s="37" t="s">
        <v>993</v>
      </c>
      <c r="B331" s="33" t="s">
        <v>994</v>
      </c>
      <c r="C331" s="26">
        <v>2000</v>
      </c>
      <c r="D331" s="17" t="s">
        <v>995</v>
      </c>
      <c r="E331" s="29" t="str">
        <f>HYPERLINK("https://www.lyellcollection.org/toc/sp/171/1")</f>
        <v>https://www.lyellcollection.org/toc/sp/171/1</v>
      </c>
      <c r="F331" s="19" t="s">
        <v>912</v>
      </c>
      <c r="G331" s="31" t="s">
        <v>1515</v>
      </c>
      <c r="H331" s="31" t="s">
        <v>1516</v>
      </c>
      <c r="I331" s="31" t="s">
        <v>1517</v>
      </c>
    </row>
    <row r="332" spans="1:9" s="12" customFormat="1" ht="31.2" customHeight="1" x14ac:dyDescent="0.2">
      <c r="A332" s="30" t="s">
        <v>996</v>
      </c>
      <c r="B332" s="33" t="s">
        <v>997</v>
      </c>
      <c r="C332" s="26">
        <v>2000</v>
      </c>
      <c r="D332" s="17" t="s">
        <v>998</v>
      </c>
      <c r="E332" s="29" t="str">
        <f>HYPERLINK("https://www.lyellcollection.org/toc/sp/170/1")</f>
        <v>https://www.lyellcollection.org/toc/sp/170/1</v>
      </c>
      <c r="F332" s="19" t="s">
        <v>912</v>
      </c>
      <c r="G332" s="31" t="s">
        <v>1515</v>
      </c>
      <c r="H332" s="31" t="s">
        <v>1516</v>
      </c>
      <c r="I332" s="31" t="s">
        <v>1517</v>
      </c>
    </row>
    <row r="333" spans="1:9" s="12" customFormat="1" ht="31.2" customHeight="1" x14ac:dyDescent="0.2">
      <c r="A333" s="37" t="s">
        <v>1008</v>
      </c>
      <c r="B333" s="33" t="s">
        <v>1009</v>
      </c>
      <c r="C333" s="26">
        <v>1999</v>
      </c>
      <c r="D333" s="17" t="s">
        <v>1010</v>
      </c>
      <c r="E333" s="29" t="str">
        <f>HYPERLINK("https://www.lyellcollection.org/toc/sp/169/1")</f>
        <v>https://www.lyellcollection.org/toc/sp/169/1</v>
      </c>
      <c r="F333" s="19" t="s">
        <v>912</v>
      </c>
      <c r="G333" s="31" t="s">
        <v>1515</v>
      </c>
      <c r="H333" s="31" t="s">
        <v>1516</v>
      </c>
      <c r="I333" s="31" t="s">
        <v>1517</v>
      </c>
    </row>
    <row r="334" spans="1:9" s="12" customFormat="1" ht="31.2" customHeight="1" x14ac:dyDescent="0.2">
      <c r="A334" s="30" t="s">
        <v>1011</v>
      </c>
      <c r="B334" s="33" t="s">
        <v>1012</v>
      </c>
      <c r="C334" s="26">
        <v>1999</v>
      </c>
      <c r="D334" s="17" t="s">
        <v>1013</v>
      </c>
      <c r="E334" s="29" t="str">
        <f>HYPERLINK("https://www.lyellcollection.org/toc/sp/168/1")</f>
        <v>https://www.lyellcollection.org/toc/sp/168/1</v>
      </c>
      <c r="F334" s="19" t="s">
        <v>912</v>
      </c>
      <c r="G334" s="31" t="s">
        <v>1515</v>
      </c>
      <c r="H334" s="31" t="s">
        <v>1516</v>
      </c>
      <c r="I334" s="31" t="s">
        <v>1517</v>
      </c>
    </row>
    <row r="335" spans="1:9" s="12" customFormat="1" ht="31.2" customHeight="1" x14ac:dyDescent="0.2">
      <c r="A335" s="37" t="s">
        <v>999</v>
      </c>
      <c r="B335" s="33" t="s">
        <v>1000</v>
      </c>
      <c r="C335" s="26">
        <v>2000</v>
      </c>
      <c r="D335" s="17" t="s">
        <v>1001</v>
      </c>
      <c r="E335" s="29" t="str">
        <f>HYPERLINK("https://www.lyellcollection.org/toc/sp/167/1")</f>
        <v>https://www.lyellcollection.org/toc/sp/167/1</v>
      </c>
      <c r="F335" s="19" t="s">
        <v>912</v>
      </c>
      <c r="G335" s="31" t="s">
        <v>1515</v>
      </c>
      <c r="H335" s="31" t="s">
        <v>1516</v>
      </c>
      <c r="I335" s="31" t="s">
        <v>1517</v>
      </c>
    </row>
    <row r="336" spans="1:9" s="12" customFormat="1" ht="31.2" customHeight="1" x14ac:dyDescent="0.2">
      <c r="A336" s="30" t="s">
        <v>1002</v>
      </c>
      <c r="B336" s="33" t="s">
        <v>1003</v>
      </c>
      <c r="C336" s="26">
        <v>2000</v>
      </c>
      <c r="D336" s="17" t="s">
        <v>1004</v>
      </c>
      <c r="E336" s="29" t="str">
        <f>HYPERLINK("https://www.lyellcollection.org/toc/sp/166/1")</f>
        <v>https://www.lyellcollection.org/toc/sp/166/1</v>
      </c>
      <c r="F336" s="19" t="s">
        <v>912</v>
      </c>
      <c r="G336" s="31" t="s">
        <v>1515</v>
      </c>
      <c r="H336" s="31" t="s">
        <v>1516</v>
      </c>
      <c r="I336" s="31" t="s">
        <v>1517</v>
      </c>
    </row>
    <row r="337" spans="1:24" s="12" customFormat="1" ht="31.2" customHeight="1" x14ac:dyDescent="0.2">
      <c r="A337" s="37" t="s">
        <v>1014</v>
      </c>
      <c r="B337" s="33" t="s">
        <v>1015</v>
      </c>
      <c r="C337" s="26">
        <v>1999</v>
      </c>
      <c r="D337" s="17" t="s">
        <v>1016</v>
      </c>
      <c r="E337" s="29" t="str">
        <f>HYPERLINK("https://www.lyellcollection.org/toc/sp/165/1")</f>
        <v>https://www.lyellcollection.org/toc/sp/165/1</v>
      </c>
      <c r="F337" s="19" t="s">
        <v>912</v>
      </c>
      <c r="G337" s="31" t="s">
        <v>1515</v>
      </c>
      <c r="H337" s="31" t="s">
        <v>1516</v>
      </c>
      <c r="I337" s="31" t="s">
        <v>1517</v>
      </c>
    </row>
    <row r="338" spans="1:24" s="12" customFormat="1" ht="31.2" customHeight="1" x14ac:dyDescent="0.2">
      <c r="A338" s="30" t="s">
        <v>1017</v>
      </c>
      <c r="B338" s="33" t="s">
        <v>1018</v>
      </c>
      <c r="C338" s="26">
        <v>1999</v>
      </c>
      <c r="D338" s="17" t="s">
        <v>1019</v>
      </c>
      <c r="E338" s="29" t="str">
        <f>HYPERLINK("https://www.lyellcollection.org/toc/sp/164/1")</f>
        <v>https://www.lyellcollection.org/toc/sp/164/1</v>
      </c>
      <c r="F338" s="19" t="s">
        <v>912</v>
      </c>
      <c r="G338" s="31" t="s">
        <v>1515</v>
      </c>
      <c r="H338" s="31" t="s">
        <v>1516</v>
      </c>
      <c r="I338" s="31" t="s">
        <v>1517</v>
      </c>
    </row>
    <row r="339" spans="1:24" s="12" customFormat="1" ht="31.2" customHeight="1" x14ac:dyDescent="0.2">
      <c r="A339" s="37" t="s">
        <v>1020</v>
      </c>
      <c r="B339" s="33" t="s">
        <v>1021</v>
      </c>
      <c r="C339" s="26">
        <v>1999</v>
      </c>
      <c r="D339" s="17" t="s">
        <v>1022</v>
      </c>
      <c r="E339" s="29" t="str">
        <f>HYPERLINK("https://www.lyellcollection.org/toc/sp/163/1")</f>
        <v>https://www.lyellcollection.org/toc/sp/163/1</v>
      </c>
      <c r="F339" s="19" t="s">
        <v>912</v>
      </c>
      <c r="G339" s="31" t="s">
        <v>1515</v>
      </c>
      <c r="H339" s="31" t="s">
        <v>1516</v>
      </c>
      <c r="I339" s="31" t="s">
        <v>1517</v>
      </c>
    </row>
    <row r="340" spans="1:24" s="12" customFormat="1" ht="31.2" customHeight="1" x14ac:dyDescent="0.2">
      <c r="A340" s="30" t="s">
        <v>1023</v>
      </c>
      <c r="B340" s="33" t="s">
        <v>1024</v>
      </c>
      <c r="C340" s="26">
        <v>1999</v>
      </c>
      <c r="D340" s="17" t="s">
        <v>1025</v>
      </c>
      <c r="E340" s="29" t="str">
        <f>HYPERLINK("https://www.lyellcollection.org/toc/sp/162/1")</f>
        <v>https://www.lyellcollection.org/toc/sp/162/1</v>
      </c>
      <c r="F340" s="19" t="s">
        <v>912</v>
      </c>
      <c r="G340" s="31" t="s">
        <v>1515</v>
      </c>
      <c r="H340" s="31" t="s">
        <v>1516</v>
      </c>
      <c r="I340" s="31" t="s">
        <v>1517</v>
      </c>
    </row>
    <row r="341" spans="1:24" s="12" customFormat="1" ht="31.2" customHeight="1" x14ac:dyDescent="0.2">
      <c r="A341" s="37" t="s">
        <v>1026</v>
      </c>
      <c r="B341" s="33" t="s">
        <v>1027</v>
      </c>
      <c r="C341" s="26">
        <v>1999</v>
      </c>
      <c r="D341" s="17" t="s">
        <v>1028</v>
      </c>
      <c r="E341" s="29" t="str">
        <f>HYPERLINK("https://www.lyellcollection.org/toc/sp/161/1")</f>
        <v>https://www.lyellcollection.org/toc/sp/161/1</v>
      </c>
      <c r="F341" s="19" t="s">
        <v>912</v>
      </c>
      <c r="G341" s="31" t="s">
        <v>1515</v>
      </c>
      <c r="H341" s="31" t="s">
        <v>1516</v>
      </c>
      <c r="I341" s="31" t="s">
        <v>1517</v>
      </c>
    </row>
    <row r="342" spans="1:24" s="12" customFormat="1" ht="31.2" customHeight="1" x14ac:dyDescent="0.2">
      <c r="A342" s="30" t="s">
        <v>1029</v>
      </c>
      <c r="B342" s="33" t="s">
        <v>1030</v>
      </c>
      <c r="C342" s="26">
        <v>1999</v>
      </c>
      <c r="D342" s="17" t="s">
        <v>1031</v>
      </c>
      <c r="E342" s="29" t="str">
        <f>HYPERLINK("https://www.lyellcollection.org/toc/sp/160/1")</f>
        <v>https://www.lyellcollection.org/toc/sp/160/1</v>
      </c>
      <c r="F342" s="19" t="s">
        <v>912</v>
      </c>
      <c r="G342" s="31" t="s">
        <v>1515</v>
      </c>
      <c r="H342" s="31" t="s">
        <v>1516</v>
      </c>
      <c r="I342" s="31" t="s">
        <v>1517</v>
      </c>
    </row>
    <row r="343" spans="1:24" s="12" customFormat="1" ht="31.2" customHeight="1" x14ac:dyDescent="0.2">
      <c r="A343" s="37" t="s">
        <v>1032</v>
      </c>
      <c r="B343" s="33" t="s">
        <v>1033</v>
      </c>
      <c r="C343" s="26">
        <v>1999</v>
      </c>
      <c r="D343" s="17" t="s">
        <v>1034</v>
      </c>
      <c r="E343" s="29" t="str">
        <f>HYPERLINK("https://www.lyellcollection.org/toc/sp/159/1")</f>
        <v>https://www.lyellcollection.org/toc/sp/159/1</v>
      </c>
      <c r="F343" s="19" t="s">
        <v>912</v>
      </c>
      <c r="G343" s="31" t="s">
        <v>1515</v>
      </c>
      <c r="H343" s="31" t="s">
        <v>1516</v>
      </c>
      <c r="I343" s="31" t="s">
        <v>1517</v>
      </c>
    </row>
    <row r="344" spans="1:24" s="12" customFormat="1" ht="31.2" customHeight="1" x14ac:dyDescent="0.2">
      <c r="A344" s="30" t="s">
        <v>1035</v>
      </c>
      <c r="B344" s="33" t="s">
        <v>1036</v>
      </c>
      <c r="C344" s="26">
        <v>1999</v>
      </c>
      <c r="D344" s="17" t="s">
        <v>1037</v>
      </c>
      <c r="E344" s="29" t="str">
        <f>HYPERLINK("https://www.lyellcollection.org/toc/sp/158/1")</f>
        <v>https://www.lyellcollection.org/toc/sp/158/1</v>
      </c>
      <c r="F344" s="19" t="s">
        <v>912</v>
      </c>
      <c r="G344" s="31" t="s">
        <v>1515</v>
      </c>
      <c r="H344" s="31" t="s">
        <v>1516</v>
      </c>
      <c r="I344" s="31" t="s">
        <v>1517</v>
      </c>
    </row>
    <row r="345" spans="1:24" s="12" customFormat="1" ht="31.2" customHeight="1" x14ac:dyDescent="0.2">
      <c r="A345" s="37" t="s">
        <v>1038</v>
      </c>
      <c r="B345" s="33" t="s">
        <v>1039</v>
      </c>
      <c r="C345" s="26">
        <v>1999</v>
      </c>
      <c r="D345" s="17" t="s">
        <v>1040</v>
      </c>
      <c r="E345" s="29" t="str">
        <f>HYPERLINK("https://www.lyellcollection.org/toc/sp/157/1")</f>
        <v>https://www.lyellcollection.org/toc/sp/157/1</v>
      </c>
      <c r="F345" s="19" t="s">
        <v>912</v>
      </c>
      <c r="G345" s="31" t="s">
        <v>1515</v>
      </c>
      <c r="H345" s="31" t="s">
        <v>1516</v>
      </c>
      <c r="I345" s="31" t="s">
        <v>1517</v>
      </c>
      <c r="W345" s="34"/>
      <c r="X345" s="34"/>
    </row>
    <row r="346" spans="1:24" s="12" customFormat="1" ht="31.2" customHeight="1" x14ac:dyDescent="0.2">
      <c r="A346" s="30" t="s">
        <v>1041</v>
      </c>
      <c r="B346" s="33" t="s">
        <v>1042</v>
      </c>
      <c r="C346" s="26">
        <v>1999</v>
      </c>
      <c r="D346" s="17" t="s">
        <v>1043</v>
      </c>
      <c r="E346" s="29" t="str">
        <f>HYPERLINK("https://www.lyellcollection.org/toc/sp/156/1")</f>
        <v>https://www.lyellcollection.org/toc/sp/156/1</v>
      </c>
      <c r="F346" s="19" t="s">
        <v>912</v>
      </c>
      <c r="G346" s="31" t="s">
        <v>1515</v>
      </c>
      <c r="H346" s="31" t="s">
        <v>1516</v>
      </c>
      <c r="I346" s="31" t="s">
        <v>1517</v>
      </c>
    </row>
    <row r="347" spans="1:24" s="12" customFormat="1" ht="31.2" customHeight="1" x14ac:dyDescent="0.2">
      <c r="A347" s="37" t="s">
        <v>1044</v>
      </c>
      <c r="B347" s="33" t="s">
        <v>1045</v>
      </c>
      <c r="C347" s="26">
        <v>1999</v>
      </c>
      <c r="D347" s="17" t="s">
        <v>1046</v>
      </c>
      <c r="E347" s="29" t="str">
        <f>HYPERLINK("https://www.lyellcollection.org/toc/sp/155/1")</f>
        <v>https://www.lyellcollection.org/toc/sp/155/1</v>
      </c>
      <c r="F347" s="19" t="s">
        <v>912</v>
      </c>
      <c r="G347" s="31" t="s">
        <v>1515</v>
      </c>
      <c r="H347" s="31" t="s">
        <v>1516</v>
      </c>
      <c r="I347" s="31" t="s">
        <v>1517</v>
      </c>
    </row>
    <row r="348" spans="1:24" s="12" customFormat="1" ht="31.2" customHeight="1" x14ac:dyDescent="0.2">
      <c r="A348" s="30" t="s">
        <v>1047</v>
      </c>
      <c r="B348" s="33" t="s">
        <v>1048</v>
      </c>
      <c r="C348" s="26">
        <v>1999</v>
      </c>
      <c r="D348" s="17" t="s">
        <v>1049</v>
      </c>
      <c r="E348" s="29" t="str">
        <f>HYPERLINK("https://www.lyellcollection.org/toc/sp/154/1")</f>
        <v>https://www.lyellcollection.org/toc/sp/154/1</v>
      </c>
      <c r="F348" s="19" t="s">
        <v>912</v>
      </c>
      <c r="G348" s="31" t="s">
        <v>1515</v>
      </c>
      <c r="H348" s="31" t="s">
        <v>1516</v>
      </c>
      <c r="I348" s="31" t="s">
        <v>1517</v>
      </c>
    </row>
    <row r="349" spans="1:24" s="12" customFormat="1" ht="31.2" customHeight="1" x14ac:dyDescent="0.2">
      <c r="A349" s="37" t="s">
        <v>1050</v>
      </c>
      <c r="B349" s="33" t="s">
        <v>1051</v>
      </c>
      <c r="C349" s="26">
        <v>1999</v>
      </c>
      <c r="D349" s="17" t="s">
        <v>1052</v>
      </c>
      <c r="E349" s="29" t="str">
        <f>HYPERLINK("https://www.lyellcollection.org/toc/sp/153/1")</f>
        <v>https://www.lyellcollection.org/toc/sp/153/1</v>
      </c>
      <c r="F349" s="19" t="s">
        <v>912</v>
      </c>
      <c r="G349" s="31" t="s">
        <v>1515</v>
      </c>
      <c r="H349" s="31" t="s">
        <v>1516</v>
      </c>
      <c r="I349" s="31" t="s">
        <v>1517</v>
      </c>
    </row>
    <row r="350" spans="1:24" s="12" customFormat="1" ht="31.2" customHeight="1" x14ac:dyDescent="0.2">
      <c r="A350" s="30" t="s">
        <v>1053</v>
      </c>
      <c r="B350" s="33" t="s">
        <v>1054</v>
      </c>
      <c r="C350" s="26">
        <v>1999</v>
      </c>
      <c r="D350" s="17" t="s">
        <v>1055</v>
      </c>
      <c r="E350" s="29" t="str">
        <f>HYPERLINK("https://www.lyellcollection.org/toc/sp/152/1")</f>
        <v>https://www.lyellcollection.org/toc/sp/152/1</v>
      </c>
      <c r="F350" s="19" t="s">
        <v>912</v>
      </c>
      <c r="G350" s="31" t="s">
        <v>1515</v>
      </c>
      <c r="H350" s="31" t="s">
        <v>1516</v>
      </c>
      <c r="I350" s="31" t="s">
        <v>1517</v>
      </c>
    </row>
    <row r="351" spans="1:24" s="12" customFormat="1" ht="31.2" customHeight="1" x14ac:dyDescent="0.2">
      <c r="A351" s="37" t="s">
        <v>1056</v>
      </c>
      <c r="B351" s="27" t="s">
        <v>1057</v>
      </c>
      <c r="C351" s="26">
        <v>1999</v>
      </c>
      <c r="D351" s="17" t="s">
        <v>1058</v>
      </c>
      <c r="E351" s="29" t="str">
        <f>HYPERLINK("https://www.lyellcollection.org/toc/sp/151/1")</f>
        <v>https://www.lyellcollection.org/toc/sp/151/1</v>
      </c>
      <c r="F351" s="19" t="s">
        <v>912</v>
      </c>
      <c r="G351" s="31" t="s">
        <v>1515</v>
      </c>
      <c r="H351" s="31" t="s">
        <v>1516</v>
      </c>
      <c r="I351" s="31" t="s">
        <v>1517</v>
      </c>
    </row>
    <row r="352" spans="1:24" s="12" customFormat="1" ht="31.2" customHeight="1" x14ac:dyDescent="0.2">
      <c r="A352" s="30" t="s">
        <v>1059</v>
      </c>
      <c r="B352" s="33" t="s">
        <v>1060</v>
      </c>
      <c r="C352" s="26">
        <v>1999</v>
      </c>
      <c r="D352" s="17" t="s">
        <v>1061</v>
      </c>
      <c r="E352" s="29" t="str">
        <f>HYPERLINK("https://www.lyellcollection.org/toc/sp/150/1")</f>
        <v>https://www.lyellcollection.org/toc/sp/150/1</v>
      </c>
      <c r="F352" s="19" t="s">
        <v>912</v>
      </c>
      <c r="G352" s="31" t="s">
        <v>1515</v>
      </c>
      <c r="H352" s="31" t="s">
        <v>1516</v>
      </c>
      <c r="I352" s="31" t="s">
        <v>1517</v>
      </c>
    </row>
    <row r="353" spans="1:9" s="12" customFormat="1" ht="31.2" customHeight="1" x14ac:dyDescent="0.2">
      <c r="A353" s="37" t="s">
        <v>1062</v>
      </c>
      <c r="B353" s="33" t="s">
        <v>1063</v>
      </c>
      <c r="C353" s="26">
        <v>1999</v>
      </c>
      <c r="D353" s="17" t="s">
        <v>1064</v>
      </c>
      <c r="E353" s="29" t="str">
        <f>HYPERLINK("https://www.lyellcollection.org/toc/sp/149/1")</f>
        <v>https://www.lyellcollection.org/toc/sp/149/1</v>
      </c>
      <c r="F353" s="19" t="s">
        <v>912</v>
      </c>
      <c r="G353" s="31" t="s">
        <v>1515</v>
      </c>
      <c r="H353" s="31" t="s">
        <v>1516</v>
      </c>
      <c r="I353" s="31" t="s">
        <v>1517</v>
      </c>
    </row>
    <row r="354" spans="1:9" s="12" customFormat="1" ht="31.2" customHeight="1" x14ac:dyDescent="0.2">
      <c r="A354" s="30" t="s">
        <v>1068</v>
      </c>
      <c r="B354" s="33" t="s">
        <v>1069</v>
      </c>
      <c r="C354" s="26">
        <v>1998</v>
      </c>
      <c r="D354" s="17" t="s">
        <v>1070</v>
      </c>
      <c r="E354" s="29" t="str">
        <f>HYPERLINK("https://www.lyellcollection.org/toc/sp/148/1")</f>
        <v>https://www.lyellcollection.org/toc/sp/148/1</v>
      </c>
      <c r="F354" s="19" t="s">
        <v>912</v>
      </c>
      <c r="G354" s="31" t="s">
        <v>1515</v>
      </c>
      <c r="H354" s="31" t="s">
        <v>1516</v>
      </c>
      <c r="I354" s="31" t="s">
        <v>1517</v>
      </c>
    </row>
    <row r="355" spans="1:9" s="12" customFormat="1" ht="31.2" customHeight="1" x14ac:dyDescent="0.2">
      <c r="A355" s="37" t="s">
        <v>1071</v>
      </c>
      <c r="B355" s="33" t="s">
        <v>1072</v>
      </c>
      <c r="C355" s="26">
        <v>1998</v>
      </c>
      <c r="D355" s="17" t="s">
        <v>1073</v>
      </c>
      <c r="E355" s="29" t="str">
        <f>HYPERLINK("https://www.lyellcollection.org/toc/sp/147/1")</f>
        <v>https://www.lyellcollection.org/toc/sp/147/1</v>
      </c>
      <c r="F355" s="19" t="s">
        <v>912</v>
      </c>
      <c r="G355" s="31" t="s">
        <v>1515</v>
      </c>
      <c r="H355" s="31" t="s">
        <v>1516</v>
      </c>
      <c r="I355" s="31" t="s">
        <v>1517</v>
      </c>
    </row>
    <row r="356" spans="1:9" s="12" customFormat="1" ht="31.2" customHeight="1" x14ac:dyDescent="0.2">
      <c r="A356" s="30" t="s">
        <v>1065</v>
      </c>
      <c r="B356" s="33" t="s">
        <v>1066</v>
      </c>
      <c r="C356" s="26">
        <v>1999</v>
      </c>
      <c r="D356" s="17" t="s">
        <v>1067</v>
      </c>
      <c r="E356" s="29" t="str">
        <f>HYPERLINK("https://www.lyellcollection.org/toc/sp/146/1")</f>
        <v>https://www.lyellcollection.org/toc/sp/146/1</v>
      </c>
      <c r="F356" s="19" t="s">
        <v>912</v>
      </c>
      <c r="G356" s="31" t="s">
        <v>1515</v>
      </c>
      <c r="H356" s="31" t="s">
        <v>1516</v>
      </c>
      <c r="I356" s="31" t="s">
        <v>1517</v>
      </c>
    </row>
    <row r="357" spans="1:9" s="12" customFormat="1" ht="31.2" customHeight="1" x14ac:dyDescent="0.2">
      <c r="A357" s="37" t="s">
        <v>1216</v>
      </c>
      <c r="B357" s="33" t="s">
        <v>1217</v>
      </c>
      <c r="C357" s="26">
        <v>1995</v>
      </c>
      <c r="D357" s="17" t="s">
        <v>1218</v>
      </c>
      <c r="E357" s="29" t="str">
        <f>HYPERLINK("https://www.lyellcollection.org/toc/sp/145/1")</f>
        <v>https://www.lyellcollection.org/toc/sp/145/1</v>
      </c>
      <c r="F357" s="19" t="s">
        <v>912</v>
      </c>
      <c r="G357" s="31" t="s">
        <v>1515</v>
      </c>
      <c r="H357" s="31" t="s">
        <v>1516</v>
      </c>
      <c r="I357" s="31" t="s">
        <v>1517</v>
      </c>
    </row>
    <row r="358" spans="1:9" s="12" customFormat="1" ht="31.2" customHeight="1" x14ac:dyDescent="0.2">
      <c r="A358" s="30" t="s">
        <v>1074</v>
      </c>
      <c r="B358" s="33" t="s">
        <v>1075</v>
      </c>
      <c r="C358" s="26">
        <v>1998</v>
      </c>
      <c r="D358" s="17" t="s">
        <v>1076</v>
      </c>
      <c r="E358" s="29" t="str">
        <f>HYPERLINK("https://www.lyellcollection.org/toc/sp/144/1")</f>
        <v>https://www.lyellcollection.org/toc/sp/144/1</v>
      </c>
      <c r="F358" s="19" t="s">
        <v>912</v>
      </c>
      <c r="G358" s="31" t="s">
        <v>1515</v>
      </c>
      <c r="H358" s="31" t="s">
        <v>1516</v>
      </c>
      <c r="I358" s="31" t="s">
        <v>1517</v>
      </c>
    </row>
    <row r="359" spans="1:9" s="12" customFormat="1" ht="31.2" customHeight="1" x14ac:dyDescent="0.2">
      <c r="A359" s="37" t="s">
        <v>1077</v>
      </c>
      <c r="B359" s="33" t="s">
        <v>1078</v>
      </c>
      <c r="C359" s="26">
        <v>1998</v>
      </c>
      <c r="D359" s="17" t="s">
        <v>1079</v>
      </c>
      <c r="E359" s="29" t="str">
        <f>HYPERLINK("https://www.lyellcollection.org/toc/sp/143/1")</f>
        <v>https://www.lyellcollection.org/toc/sp/143/1</v>
      </c>
      <c r="F359" s="19" t="s">
        <v>912</v>
      </c>
      <c r="G359" s="31" t="s">
        <v>1515</v>
      </c>
      <c r="H359" s="31" t="s">
        <v>1516</v>
      </c>
      <c r="I359" s="31" t="s">
        <v>1517</v>
      </c>
    </row>
    <row r="360" spans="1:9" s="12" customFormat="1" ht="31.2" customHeight="1" x14ac:dyDescent="0.2">
      <c r="A360" s="30" t="s">
        <v>1080</v>
      </c>
      <c r="B360" s="33" t="s">
        <v>1081</v>
      </c>
      <c r="C360" s="26">
        <v>1998</v>
      </c>
      <c r="D360" s="17" t="s">
        <v>1082</v>
      </c>
      <c r="E360" s="29" t="str">
        <f>HYPERLINK("https://www.lyellcollection.org/toc/sp/142/1")</f>
        <v>https://www.lyellcollection.org/toc/sp/142/1</v>
      </c>
      <c r="F360" s="19" t="s">
        <v>912</v>
      </c>
      <c r="G360" s="31" t="s">
        <v>1515</v>
      </c>
      <c r="H360" s="31" t="s">
        <v>1516</v>
      </c>
      <c r="I360" s="31" t="s">
        <v>1517</v>
      </c>
    </row>
    <row r="361" spans="1:9" s="12" customFormat="1" ht="31.2" customHeight="1" x14ac:dyDescent="0.2">
      <c r="A361" s="37" t="s">
        <v>1083</v>
      </c>
      <c r="B361" s="33" t="s">
        <v>1084</v>
      </c>
      <c r="C361" s="26">
        <v>1998</v>
      </c>
      <c r="D361" s="17" t="s">
        <v>1085</v>
      </c>
      <c r="E361" s="29" t="str">
        <f>HYPERLINK("https://www.lyellcollection.org/toc/sp/141/1")</f>
        <v>https://www.lyellcollection.org/toc/sp/141/1</v>
      </c>
      <c r="F361" s="19" t="s">
        <v>912</v>
      </c>
      <c r="G361" s="31" t="s">
        <v>1515</v>
      </c>
      <c r="H361" s="31" t="s">
        <v>1516</v>
      </c>
      <c r="I361" s="31" t="s">
        <v>1517</v>
      </c>
    </row>
    <row r="362" spans="1:9" s="12" customFormat="1" ht="31.2" customHeight="1" x14ac:dyDescent="0.2">
      <c r="A362" s="30" t="s">
        <v>1086</v>
      </c>
      <c r="B362" s="33" t="s">
        <v>1087</v>
      </c>
      <c r="C362" s="26">
        <v>1998</v>
      </c>
      <c r="D362" s="17" t="s">
        <v>1088</v>
      </c>
      <c r="E362" s="29" t="str">
        <f>HYPERLINK("https://www.lyellcollection.org/toc/sp/140/1")</f>
        <v>https://www.lyellcollection.org/toc/sp/140/1</v>
      </c>
      <c r="F362" s="19" t="s">
        <v>912</v>
      </c>
      <c r="G362" s="31" t="s">
        <v>1515</v>
      </c>
      <c r="H362" s="31" t="s">
        <v>1516</v>
      </c>
      <c r="I362" s="31" t="s">
        <v>1517</v>
      </c>
    </row>
    <row r="363" spans="1:9" s="12" customFormat="1" ht="31.2" customHeight="1" x14ac:dyDescent="0.2">
      <c r="A363" s="37" t="s">
        <v>1089</v>
      </c>
      <c r="B363" s="33" t="s">
        <v>1090</v>
      </c>
      <c r="C363" s="26">
        <v>1998</v>
      </c>
      <c r="D363" s="17" t="s">
        <v>1091</v>
      </c>
      <c r="E363" s="29" t="str">
        <f>HYPERLINK("https://www.lyellcollection.org/toc/sp/139/1")</f>
        <v>https://www.lyellcollection.org/toc/sp/139/1</v>
      </c>
      <c r="F363" s="19" t="s">
        <v>912</v>
      </c>
      <c r="G363" s="31" t="s">
        <v>1515</v>
      </c>
      <c r="H363" s="31" t="s">
        <v>1516</v>
      </c>
      <c r="I363" s="31" t="s">
        <v>1517</v>
      </c>
    </row>
    <row r="364" spans="1:9" s="12" customFormat="1" ht="31.2" customHeight="1" x14ac:dyDescent="0.2">
      <c r="A364" s="30" t="s">
        <v>1092</v>
      </c>
      <c r="B364" s="33" t="s">
        <v>1093</v>
      </c>
      <c r="C364" s="26">
        <v>1998</v>
      </c>
      <c r="D364" s="17" t="s">
        <v>1094</v>
      </c>
      <c r="E364" s="29" t="str">
        <f>HYPERLINK("https://www.lyellcollection.org/toc/sp/138/1")</f>
        <v>https://www.lyellcollection.org/toc/sp/138/1</v>
      </c>
      <c r="F364" s="19" t="s">
        <v>912</v>
      </c>
      <c r="G364" s="31" t="s">
        <v>1515</v>
      </c>
      <c r="H364" s="31" t="s">
        <v>1516</v>
      </c>
      <c r="I364" s="31" t="s">
        <v>1517</v>
      </c>
    </row>
    <row r="365" spans="1:9" s="12" customFormat="1" ht="31.2" customHeight="1" x14ac:dyDescent="0.2">
      <c r="A365" s="37" t="s">
        <v>1095</v>
      </c>
      <c r="B365" s="33" t="s">
        <v>1096</v>
      </c>
      <c r="C365" s="26">
        <v>1998</v>
      </c>
      <c r="D365" s="17" t="s">
        <v>1097</v>
      </c>
      <c r="E365" s="29" t="str">
        <f>HYPERLINK("https://www.lyellcollection.org/toc/sp/137/1")</f>
        <v>https://www.lyellcollection.org/toc/sp/137/1</v>
      </c>
      <c r="F365" s="19" t="s">
        <v>912</v>
      </c>
      <c r="G365" s="31" t="s">
        <v>1515</v>
      </c>
      <c r="H365" s="31" t="s">
        <v>1516</v>
      </c>
      <c r="I365" s="31" t="s">
        <v>1517</v>
      </c>
    </row>
    <row r="366" spans="1:9" s="12" customFormat="1" ht="31.2" customHeight="1" x14ac:dyDescent="0.2">
      <c r="A366" s="30" t="s">
        <v>1098</v>
      </c>
      <c r="B366" s="33" t="s">
        <v>1099</v>
      </c>
      <c r="C366" s="26">
        <v>1998</v>
      </c>
      <c r="D366" s="17" t="s">
        <v>1100</v>
      </c>
      <c r="E366" s="29" t="str">
        <f>HYPERLINK("https://www.lyellcollection.org/toc/sp/136/1")</f>
        <v>https://www.lyellcollection.org/toc/sp/136/1</v>
      </c>
      <c r="F366" s="19" t="s">
        <v>912</v>
      </c>
      <c r="G366" s="31" t="s">
        <v>1515</v>
      </c>
      <c r="H366" s="31" t="s">
        <v>1516</v>
      </c>
      <c r="I366" s="31" t="s">
        <v>1517</v>
      </c>
    </row>
    <row r="367" spans="1:9" s="12" customFormat="1" ht="31.2" customHeight="1" x14ac:dyDescent="0.2">
      <c r="A367" s="37" t="s">
        <v>1101</v>
      </c>
      <c r="B367" s="33" t="s">
        <v>1102</v>
      </c>
      <c r="C367" s="26">
        <v>1998</v>
      </c>
      <c r="D367" s="17" t="s">
        <v>1103</v>
      </c>
      <c r="E367" s="29" t="str">
        <f>HYPERLINK("https://www.lyellcollection.org/toc/sp/135/1")</f>
        <v>https://www.lyellcollection.org/toc/sp/135/1</v>
      </c>
      <c r="F367" s="19" t="s">
        <v>912</v>
      </c>
      <c r="G367" s="31" t="s">
        <v>1515</v>
      </c>
      <c r="H367" s="31" t="s">
        <v>1516</v>
      </c>
      <c r="I367" s="31" t="s">
        <v>1517</v>
      </c>
    </row>
    <row r="368" spans="1:9" s="12" customFormat="1" ht="31.2" customHeight="1" x14ac:dyDescent="0.2">
      <c r="A368" s="30" t="s">
        <v>1104</v>
      </c>
      <c r="B368" s="33" t="s">
        <v>1105</v>
      </c>
      <c r="C368" s="26">
        <v>1998</v>
      </c>
      <c r="D368" s="17" t="s">
        <v>1106</v>
      </c>
      <c r="E368" s="29" t="str">
        <f>HYPERLINK("https://www.lyellcollection.org/toc/sp/134/1")</f>
        <v>https://www.lyellcollection.org/toc/sp/134/1</v>
      </c>
      <c r="F368" s="19" t="s">
        <v>912</v>
      </c>
      <c r="G368" s="31" t="s">
        <v>1515</v>
      </c>
      <c r="H368" s="31" t="s">
        <v>1516</v>
      </c>
      <c r="I368" s="31" t="s">
        <v>1517</v>
      </c>
    </row>
    <row r="369" spans="1:24" s="12" customFormat="1" ht="31.2" customHeight="1" x14ac:dyDescent="0.2">
      <c r="A369" s="37" t="s">
        <v>1107</v>
      </c>
      <c r="B369" s="33" t="s">
        <v>1108</v>
      </c>
      <c r="C369" s="26">
        <v>1998</v>
      </c>
      <c r="D369" s="38" t="s">
        <v>1109</v>
      </c>
      <c r="E369" s="29" t="str">
        <f>HYPERLINK("https://www.lyellcollection.org/toc/sp/133/1")</f>
        <v>https://www.lyellcollection.org/toc/sp/133/1</v>
      </c>
      <c r="F369" s="19" t="s">
        <v>912</v>
      </c>
      <c r="G369" s="31" t="s">
        <v>1515</v>
      </c>
      <c r="H369" s="31" t="s">
        <v>1516</v>
      </c>
      <c r="I369" s="31" t="s">
        <v>1517</v>
      </c>
    </row>
    <row r="370" spans="1:24" s="12" customFormat="1" ht="31.2" customHeight="1" x14ac:dyDescent="0.2">
      <c r="A370" s="30" t="s">
        <v>1110</v>
      </c>
      <c r="B370" s="33" t="s">
        <v>1111</v>
      </c>
      <c r="C370" s="26">
        <v>1998</v>
      </c>
      <c r="D370" s="17" t="s">
        <v>1112</v>
      </c>
      <c r="E370" s="29" t="str">
        <f>HYPERLINK("https://www.lyellcollection.org/toc/sp/132/1")</f>
        <v>https://www.lyellcollection.org/toc/sp/132/1</v>
      </c>
      <c r="F370" s="19" t="s">
        <v>912</v>
      </c>
      <c r="G370" s="31" t="s">
        <v>1515</v>
      </c>
      <c r="H370" s="31" t="s">
        <v>1516</v>
      </c>
      <c r="I370" s="31" t="s">
        <v>1517</v>
      </c>
      <c r="W370" s="34"/>
      <c r="X370" s="34"/>
    </row>
    <row r="371" spans="1:24" s="12" customFormat="1" ht="31.2" customHeight="1" x14ac:dyDescent="0.2">
      <c r="A371" s="37" t="s">
        <v>1113</v>
      </c>
      <c r="B371" s="33" t="s">
        <v>1114</v>
      </c>
      <c r="C371" s="26">
        <v>1998</v>
      </c>
      <c r="D371" s="17" t="s">
        <v>1115</v>
      </c>
      <c r="E371" s="29" t="str">
        <f>HYPERLINK("https://www.lyellcollection.org/toc/sp/131/1")</f>
        <v>https://www.lyellcollection.org/toc/sp/131/1</v>
      </c>
      <c r="F371" s="19" t="s">
        <v>912</v>
      </c>
      <c r="G371" s="31" t="s">
        <v>1515</v>
      </c>
      <c r="H371" s="31" t="s">
        <v>1516</v>
      </c>
      <c r="I371" s="31" t="s">
        <v>1517</v>
      </c>
    </row>
    <row r="372" spans="1:24" s="12" customFormat="1" ht="31.2" customHeight="1" x14ac:dyDescent="0.2">
      <c r="A372" s="30" t="s">
        <v>1116</v>
      </c>
      <c r="B372" s="33" t="s">
        <v>1117</v>
      </c>
      <c r="C372" s="26">
        <v>1998</v>
      </c>
      <c r="D372" s="38" t="s">
        <v>1118</v>
      </c>
      <c r="E372" s="29" t="str">
        <f>HYPERLINK("https://www.lyellcollection.org/toc/sp/130/1")</f>
        <v>https://www.lyellcollection.org/toc/sp/130/1</v>
      </c>
      <c r="F372" s="19" t="s">
        <v>912</v>
      </c>
      <c r="G372" s="31" t="s">
        <v>1515</v>
      </c>
      <c r="H372" s="31" t="s">
        <v>1516</v>
      </c>
      <c r="I372" s="31" t="s">
        <v>1517</v>
      </c>
    </row>
    <row r="373" spans="1:24" s="12" customFormat="1" ht="31.2" customHeight="1" x14ac:dyDescent="0.2">
      <c r="A373" s="37" t="s">
        <v>1119</v>
      </c>
      <c r="B373" s="33" t="s">
        <v>1120</v>
      </c>
      <c r="C373" s="26">
        <v>1998</v>
      </c>
      <c r="D373" s="38" t="s">
        <v>1121</v>
      </c>
      <c r="E373" s="29" t="str">
        <f>HYPERLINK("https://www.lyellcollection.org/toc/sp/129/1")</f>
        <v>https://www.lyellcollection.org/toc/sp/129/1</v>
      </c>
      <c r="F373" s="19" t="s">
        <v>912</v>
      </c>
      <c r="G373" s="31" t="s">
        <v>1515</v>
      </c>
      <c r="H373" s="31" t="s">
        <v>1516</v>
      </c>
      <c r="I373" s="31" t="s">
        <v>1517</v>
      </c>
    </row>
    <row r="374" spans="1:24" s="12" customFormat="1" ht="31.2" customHeight="1" x14ac:dyDescent="0.2">
      <c r="A374" s="30" t="s">
        <v>1122</v>
      </c>
      <c r="B374" s="33" t="s">
        <v>1123</v>
      </c>
      <c r="C374" s="26">
        <v>1998</v>
      </c>
      <c r="D374" s="38" t="s">
        <v>1124</v>
      </c>
      <c r="E374" s="29" t="str">
        <f>HYPERLINK("https://www.lyellcollection.org/toc/sp/128/1")</f>
        <v>https://www.lyellcollection.org/toc/sp/128/1</v>
      </c>
      <c r="F374" s="19" t="s">
        <v>912</v>
      </c>
      <c r="G374" s="31" t="s">
        <v>1515</v>
      </c>
      <c r="H374" s="31" t="s">
        <v>1516</v>
      </c>
      <c r="I374" s="31" t="s">
        <v>1517</v>
      </c>
    </row>
    <row r="375" spans="1:24" s="12" customFormat="1" ht="31.2" customHeight="1" x14ac:dyDescent="0.2">
      <c r="A375" s="37" t="s">
        <v>1125</v>
      </c>
      <c r="B375" s="33" t="s">
        <v>1126</v>
      </c>
      <c r="C375" s="26">
        <v>1998</v>
      </c>
      <c r="D375" s="38" t="s">
        <v>1127</v>
      </c>
      <c r="E375" s="29" t="str">
        <f>HYPERLINK("https://www.lyellcollection.org/toc/sp/127/1")</f>
        <v>https://www.lyellcollection.org/toc/sp/127/1</v>
      </c>
      <c r="F375" s="19" t="s">
        <v>912</v>
      </c>
      <c r="G375" s="31" t="s">
        <v>1515</v>
      </c>
      <c r="H375" s="31" t="s">
        <v>1516</v>
      </c>
      <c r="I375" s="31" t="s">
        <v>1517</v>
      </c>
    </row>
    <row r="376" spans="1:24" s="12" customFormat="1" ht="31.2" customHeight="1" x14ac:dyDescent="0.2">
      <c r="A376" s="30" t="s">
        <v>1128</v>
      </c>
      <c r="B376" s="33" t="s">
        <v>1129</v>
      </c>
      <c r="C376" s="26">
        <v>1997</v>
      </c>
      <c r="D376" s="38" t="s">
        <v>1130</v>
      </c>
      <c r="E376" s="29" t="str">
        <f>HYPERLINK("https://www.lyellcollection.org/toc/sp/126/1")</f>
        <v>https://www.lyellcollection.org/toc/sp/126/1</v>
      </c>
      <c r="F376" s="19" t="s">
        <v>912</v>
      </c>
      <c r="G376" s="31" t="s">
        <v>1515</v>
      </c>
      <c r="H376" s="31" t="s">
        <v>1516</v>
      </c>
      <c r="I376" s="31" t="s">
        <v>1517</v>
      </c>
    </row>
    <row r="377" spans="1:24" s="12" customFormat="1" ht="31.2" customHeight="1" x14ac:dyDescent="0.2">
      <c r="A377" s="37" t="s">
        <v>1131</v>
      </c>
      <c r="B377" s="33" t="s">
        <v>1132</v>
      </c>
      <c r="C377" s="26">
        <v>1997</v>
      </c>
      <c r="D377" s="38" t="s">
        <v>1133</v>
      </c>
      <c r="E377" s="29" t="str">
        <f>HYPERLINK("https://www.lyellcollection.org/toc/sp/125/1")</f>
        <v>https://www.lyellcollection.org/toc/sp/125/1</v>
      </c>
      <c r="F377" s="19" t="s">
        <v>912</v>
      </c>
      <c r="G377" s="31" t="s">
        <v>1515</v>
      </c>
      <c r="H377" s="31" t="s">
        <v>1516</v>
      </c>
      <c r="I377" s="31" t="s">
        <v>1517</v>
      </c>
    </row>
    <row r="378" spans="1:24" s="12" customFormat="1" ht="31.2" customHeight="1" x14ac:dyDescent="0.2">
      <c r="A378" s="30" t="s">
        <v>1134</v>
      </c>
      <c r="B378" s="33" t="s">
        <v>1135</v>
      </c>
      <c r="C378" s="26">
        <v>1997</v>
      </c>
      <c r="D378" s="38" t="s">
        <v>1136</v>
      </c>
      <c r="E378" s="29" t="str">
        <f>HYPERLINK("https://www.lyellcollection.org/toc/sp/124/1")</f>
        <v>https://www.lyellcollection.org/toc/sp/124/1</v>
      </c>
      <c r="F378" s="19" t="s">
        <v>912</v>
      </c>
      <c r="G378" s="31" t="s">
        <v>1515</v>
      </c>
      <c r="H378" s="31" t="s">
        <v>1516</v>
      </c>
      <c r="I378" s="31" t="s">
        <v>1517</v>
      </c>
    </row>
    <row r="379" spans="1:24" s="12" customFormat="1" ht="31.2" customHeight="1" x14ac:dyDescent="0.2">
      <c r="A379" s="37" t="s">
        <v>1137</v>
      </c>
      <c r="B379" s="33" t="s">
        <v>1138</v>
      </c>
      <c r="C379" s="26">
        <v>1997</v>
      </c>
      <c r="D379" s="38" t="s">
        <v>1139</v>
      </c>
      <c r="E379" s="29" t="str">
        <f>HYPERLINK("https://www.lyellcollection.org/toc/sp/123/1")</f>
        <v>https://www.lyellcollection.org/toc/sp/123/1</v>
      </c>
      <c r="F379" s="19" t="s">
        <v>912</v>
      </c>
      <c r="G379" s="31" t="s">
        <v>1515</v>
      </c>
      <c r="H379" s="31" t="s">
        <v>1516</v>
      </c>
      <c r="I379" s="31" t="s">
        <v>1517</v>
      </c>
    </row>
    <row r="380" spans="1:24" s="12" customFormat="1" ht="31.2" customHeight="1" x14ac:dyDescent="0.2">
      <c r="A380" s="30" t="s">
        <v>1140</v>
      </c>
      <c r="B380" s="33" t="s">
        <v>1141</v>
      </c>
      <c r="C380" s="26">
        <v>1997</v>
      </c>
      <c r="D380" s="38" t="s">
        <v>1142</v>
      </c>
      <c r="E380" s="29" t="str">
        <f>HYPERLINK("https://www.lyellcollection.org/toc/sp/122/1")</f>
        <v>https://www.lyellcollection.org/toc/sp/122/1</v>
      </c>
      <c r="F380" s="19" t="s">
        <v>912</v>
      </c>
      <c r="G380" s="31" t="s">
        <v>1515</v>
      </c>
      <c r="H380" s="31" t="s">
        <v>1516</v>
      </c>
      <c r="I380" s="31" t="s">
        <v>1517</v>
      </c>
    </row>
    <row r="381" spans="1:24" s="12" customFormat="1" ht="31.2" customHeight="1" x14ac:dyDescent="0.2">
      <c r="A381" s="37" t="s">
        <v>1143</v>
      </c>
      <c r="B381" s="33" t="s">
        <v>1144</v>
      </c>
      <c r="C381" s="26">
        <v>1997</v>
      </c>
      <c r="D381" s="38" t="s">
        <v>1145</v>
      </c>
      <c r="E381" s="29" t="str">
        <f>HYPERLINK("https://www.lyellcollection.org/toc/sp/121/1")</f>
        <v>https://www.lyellcollection.org/toc/sp/121/1</v>
      </c>
      <c r="F381" s="19" t="s">
        <v>912</v>
      </c>
      <c r="G381" s="31" t="s">
        <v>1515</v>
      </c>
      <c r="H381" s="31" t="s">
        <v>1516</v>
      </c>
      <c r="I381" s="31" t="s">
        <v>1517</v>
      </c>
    </row>
    <row r="382" spans="1:24" s="12" customFormat="1" ht="31.2" customHeight="1" x14ac:dyDescent="0.2">
      <c r="A382" s="30" t="s">
        <v>1146</v>
      </c>
      <c r="B382" s="33" t="s">
        <v>1147</v>
      </c>
      <c r="C382" s="26">
        <v>1997</v>
      </c>
      <c r="D382" s="38" t="s">
        <v>1148</v>
      </c>
      <c r="E382" s="29" t="str">
        <f>HYPERLINK("https://www.lyellcollection.org/toc/sp/120/1")</f>
        <v>https://www.lyellcollection.org/toc/sp/120/1</v>
      </c>
      <c r="F382" s="19" t="s">
        <v>912</v>
      </c>
      <c r="G382" s="31" t="s">
        <v>1515</v>
      </c>
      <c r="H382" s="31" t="s">
        <v>1516</v>
      </c>
      <c r="I382" s="31" t="s">
        <v>1517</v>
      </c>
    </row>
    <row r="383" spans="1:24" s="12" customFormat="1" ht="31.2" customHeight="1" x14ac:dyDescent="0.2">
      <c r="A383" s="37" t="s">
        <v>1149</v>
      </c>
      <c r="B383" s="33" t="s">
        <v>1150</v>
      </c>
      <c r="C383" s="26">
        <v>1996</v>
      </c>
      <c r="D383" s="38" t="s">
        <v>1151</v>
      </c>
      <c r="E383" s="29" t="str">
        <f>HYPERLINK("https://www.lyellcollection.org/toc/sp/119/1")</f>
        <v>https://www.lyellcollection.org/toc/sp/119/1</v>
      </c>
      <c r="F383" s="19" t="s">
        <v>912</v>
      </c>
      <c r="G383" s="31" t="s">
        <v>1515</v>
      </c>
      <c r="H383" s="31" t="s">
        <v>1516</v>
      </c>
      <c r="I383" s="31" t="s">
        <v>1517</v>
      </c>
    </row>
    <row r="384" spans="1:24" s="12" customFormat="1" ht="31.2" customHeight="1" x14ac:dyDescent="0.2">
      <c r="A384" s="30" t="s">
        <v>1152</v>
      </c>
      <c r="B384" s="33" t="s">
        <v>1153</v>
      </c>
      <c r="C384" s="26">
        <v>1996</v>
      </c>
      <c r="D384" s="38" t="s">
        <v>1154</v>
      </c>
      <c r="E384" s="29" t="str">
        <f>HYPERLINK("https://www.lyellcollection.org/toc/sp/118/1")</f>
        <v>https://www.lyellcollection.org/toc/sp/118/1</v>
      </c>
      <c r="F384" s="19" t="s">
        <v>912</v>
      </c>
      <c r="G384" s="31" t="s">
        <v>1515</v>
      </c>
      <c r="H384" s="31" t="s">
        <v>1516</v>
      </c>
      <c r="I384" s="31" t="s">
        <v>1517</v>
      </c>
    </row>
    <row r="385" spans="1:9" s="12" customFormat="1" ht="31.2" customHeight="1" x14ac:dyDescent="0.2">
      <c r="A385" s="37" t="s">
        <v>1155</v>
      </c>
      <c r="B385" s="33" t="s">
        <v>1156</v>
      </c>
      <c r="C385" s="26">
        <v>1996</v>
      </c>
      <c r="D385" s="38" t="s">
        <v>1157</v>
      </c>
      <c r="E385" s="29" t="str">
        <f>HYPERLINK("https://www.lyellcollection.org/toc/sp/117/1")</f>
        <v>https://www.lyellcollection.org/toc/sp/117/1</v>
      </c>
      <c r="F385" s="19" t="s">
        <v>912</v>
      </c>
      <c r="G385" s="31" t="s">
        <v>1515</v>
      </c>
      <c r="H385" s="31" t="s">
        <v>1516</v>
      </c>
      <c r="I385" s="31" t="s">
        <v>1517</v>
      </c>
    </row>
    <row r="386" spans="1:9" s="12" customFormat="1" ht="31.2" customHeight="1" x14ac:dyDescent="0.2">
      <c r="A386" s="30" t="s">
        <v>1158</v>
      </c>
      <c r="B386" s="33" t="s">
        <v>1159</v>
      </c>
      <c r="C386" s="26">
        <v>1996</v>
      </c>
      <c r="D386" s="38" t="s">
        <v>1160</v>
      </c>
      <c r="E386" s="29" t="str">
        <f>HYPERLINK("https://www.lyellcollection.org/toc/sp/116/1")</f>
        <v>https://www.lyellcollection.org/toc/sp/116/1</v>
      </c>
      <c r="F386" s="19" t="s">
        <v>912</v>
      </c>
      <c r="G386" s="31" t="s">
        <v>1515</v>
      </c>
      <c r="H386" s="31" t="s">
        <v>1516</v>
      </c>
      <c r="I386" s="31" t="s">
        <v>1517</v>
      </c>
    </row>
    <row r="387" spans="1:9" s="12" customFormat="1" ht="31.2" customHeight="1" x14ac:dyDescent="0.2">
      <c r="A387" s="37" t="s">
        <v>1161</v>
      </c>
      <c r="B387" s="33" t="s">
        <v>1162</v>
      </c>
      <c r="C387" s="26">
        <v>1996</v>
      </c>
      <c r="D387" s="38" t="s">
        <v>1163</v>
      </c>
      <c r="E387" s="29" t="str">
        <f>HYPERLINK("https://www.lyellcollection.org/toc/sp/115/1")</f>
        <v>https://www.lyellcollection.org/toc/sp/115/1</v>
      </c>
      <c r="F387" s="19" t="s">
        <v>912</v>
      </c>
      <c r="G387" s="31" t="s">
        <v>1515</v>
      </c>
      <c r="H387" s="31" t="s">
        <v>1516</v>
      </c>
      <c r="I387" s="31" t="s">
        <v>1517</v>
      </c>
    </row>
    <row r="388" spans="1:9" s="12" customFormat="1" ht="31.2" customHeight="1" x14ac:dyDescent="0.2">
      <c r="A388" s="30" t="s">
        <v>1164</v>
      </c>
      <c r="B388" s="33" t="s">
        <v>1165</v>
      </c>
      <c r="C388" s="26">
        <v>1996</v>
      </c>
      <c r="D388" s="38" t="s">
        <v>1166</v>
      </c>
      <c r="E388" s="29" t="str">
        <f>HYPERLINK("https://www.lyellcollection.org/toc/sp/114/1")</f>
        <v>https://www.lyellcollection.org/toc/sp/114/1</v>
      </c>
      <c r="F388" s="19" t="s">
        <v>912</v>
      </c>
      <c r="G388" s="31" t="s">
        <v>1515</v>
      </c>
      <c r="H388" s="31" t="s">
        <v>1516</v>
      </c>
      <c r="I388" s="31" t="s">
        <v>1517</v>
      </c>
    </row>
    <row r="389" spans="1:9" s="12" customFormat="1" ht="31.2" customHeight="1" x14ac:dyDescent="0.2">
      <c r="A389" s="37" t="s">
        <v>1167</v>
      </c>
      <c r="B389" s="33" t="s">
        <v>1168</v>
      </c>
      <c r="C389" s="26">
        <v>1996</v>
      </c>
      <c r="D389" s="38" t="s">
        <v>1169</v>
      </c>
      <c r="E389" s="29" t="str">
        <f>HYPERLINK("https://www.lyellcollection.org/toc/sp/113/1")</f>
        <v>https://www.lyellcollection.org/toc/sp/113/1</v>
      </c>
      <c r="F389" s="19" t="s">
        <v>912</v>
      </c>
      <c r="G389" s="31" t="s">
        <v>1515</v>
      </c>
      <c r="H389" s="31" t="s">
        <v>1516</v>
      </c>
      <c r="I389" s="31" t="s">
        <v>1517</v>
      </c>
    </row>
    <row r="390" spans="1:9" s="12" customFormat="1" ht="31.2" customHeight="1" x14ac:dyDescent="0.2">
      <c r="A390" s="30" t="s">
        <v>1170</v>
      </c>
      <c r="B390" s="33" t="s">
        <v>1171</v>
      </c>
      <c r="C390" s="26">
        <v>1996</v>
      </c>
      <c r="D390" s="38" t="s">
        <v>1172</v>
      </c>
      <c r="E390" s="29" t="str">
        <f>HYPERLINK("https://www.lyellcollection.org/toc/sp/112/1")</f>
        <v>https://www.lyellcollection.org/toc/sp/112/1</v>
      </c>
      <c r="F390" s="19" t="s">
        <v>912</v>
      </c>
      <c r="G390" s="31" t="s">
        <v>1515</v>
      </c>
      <c r="H390" s="31" t="s">
        <v>1516</v>
      </c>
      <c r="I390" s="31" t="s">
        <v>1517</v>
      </c>
    </row>
    <row r="391" spans="1:9" s="12" customFormat="1" ht="31.2" customHeight="1" x14ac:dyDescent="0.2">
      <c r="A391" s="37" t="s">
        <v>1173</v>
      </c>
      <c r="B391" s="33" t="s">
        <v>1174</v>
      </c>
      <c r="C391" s="26">
        <v>1996</v>
      </c>
      <c r="D391" s="38" t="s">
        <v>1175</v>
      </c>
      <c r="E391" s="29" t="str">
        <f>HYPERLINK("https://www.lyellcollection.org/toc/sp/111/1")</f>
        <v>https://www.lyellcollection.org/toc/sp/111/1</v>
      </c>
      <c r="F391" s="19" t="s">
        <v>912</v>
      </c>
      <c r="G391" s="31" t="s">
        <v>1515</v>
      </c>
      <c r="H391" s="31" t="s">
        <v>1516</v>
      </c>
      <c r="I391" s="31" t="s">
        <v>1517</v>
      </c>
    </row>
    <row r="392" spans="1:9" s="12" customFormat="1" ht="31.2" customHeight="1" x14ac:dyDescent="0.2">
      <c r="A392" s="30" t="s">
        <v>1176</v>
      </c>
      <c r="B392" s="33" t="s">
        <v>1177</v>
      </c>
      <c r="C392" s="26">
        <v>1996</v>
      </c>
      <c r="D392" s="38" t="s">
        <v>1178</v>
      </c>
      <c r="E392" s="29" t="str">
        <f>HYPERLINK("https://www.lyellcollection.org/toc/sp/110/1")</f>
        <v>https://www.lyellcollection.org/toc/sp/110/1</v>
      </c>
      <c r="F392" s="19" t="s">
        <v>912</v>
      </c>
      <c r="G392" s="31" t="s">
        <v>1515</v>
      </c>
      <c r="H392" s="31" t="s">
        <v>1516</v>
      </c>
      <c r="I392" s="31" t="s">
        <v>1517</v>
      </c>
    </row>
    <row r="393" spans="1:9" s="12" customFormat="1" ht="31.2" customHeight="1" x14ac:dyDescent="0.2">
      <c r="A393" s="37" t="s">
        <v>1179</v>
      </c>
      <c r="B393" s="33" t="s">
        <v>1180</v>
      </c>
      <c r="C393" s="26">
        <v>1996</v>
      </c>
      <c r="D393" s="38" t="s">
        <v>1181</v>
      </c>
      <c r="E393" s="29" t="str">
        <f>HYPERLINK("https://www.lyellcollection.org/toc/sp/109/1")</f>
        <v>https://www.lyellcollection.org/toc/sp/109/1</v>
      </c>
      <c r="F393" s="19" t="s">
        <v>912</v>
      </c>
      <c r="G393" s="31" t="s">
        <v>1515</v>
      </c>
      <c r="H393" s="31" t="s">
        <v>1516</v>
      </c>
      <c r="I393" s="31" t="s">
        <v>1517</v>
      </c>
    </row>
    <row r="394" spans="1:9" s="12" customFormat="1" ht="31.2" customHeight="1" x14ac:dyDescent="0.2">
      <c r="A394" s="30" t="s">
        <v>1182</v>
      </c>
      <c r="B394" s="33" t="s">
        <v>1183</v>
      </c>
      <c r="C394" s="26">
        <v>1996</v>
      </c>
      <c r="D394" s="38" t="s">
        <v>1184</v>
      </c>
      <c r="E394" s="29" t="str">
        <f>HYPERLINK("https://www.lyellcollection.org/toc/sp/108/1")</f>
        <v>https://www.lyellcollection.org/toc/sp/108/1</v>
      </c>
      <c r="F394" s="19" t="s">
        <v>912</v>
      </c>
      <c r="G394" s="31" t="s">
        <v>1515</v>
      </c>
      <c r="H394" s="31" t="s">
        <v>1516</v>
      </c>
      <c r="I394" s="31" t="s">
        <v>1517</v>
      </c>
    </row>
    <row r="395" spans="1:9" s="12" customFormat="1" ht="31.2" customHeight="1" x14ac:dyDescent="0.2">
      <c r="A395" s="37" t="s">
        <v>1185</v>
      </c>
      <c r="B395" s="33" t="s">
        <v>1186</v>
      </c>
      <c r="C395" s="26">
        <v>1996</v>
      </c>
      <c r="D395" s="38" t="s">
        <v>1187</v>
      </c>
      <c r="E395" s="29" t="str">
        <f>HYPERLINK("https://www.lyellcollection.org/toc/sp/107/1")</f>
        <v>https://www.lyellcollection.org/toc/sp/107/1</v>
      </c>
      <c r="F395" s="19" t="s">
        <v>912</v>
      </c>
      <c r="G395" s="31" t="s">
        <v>1515</v>
      </c>
      <c r="H395" s="31" t="s">
        <v>1516</v>
      </c>
      <c r="I395" s="31" t="s">
        <v>1517</v>
      </c>
    </row>
    <row r="396" spans="1:9" s="12" customFormat="1" ht="31.2" customHeight="1" x14ac:dyDescent="0.2">
      <c r="A396" s="30" t="s">
        <v>1188</v>
      </c>
      <c r="B396" s="33" t="s">
        <v>1189</v>
      </c>
      <c r="C396" s="26">
        <v>1996</v>
      </c>
      <c r="D396" s="38" t="s">
        <v>1190</v>
      </c>
      <c r="E396" s="29" t="str">
        <f>HYPERLINK("https://www.lyellcollection.org/toc/sp/106/1")</f>
        <v>https://www.lyellcollection.org/toc/sp/106/1</v>
      </c>
      <c r="F396" s="19" t="s">
        <v>912</v>
      </c>
      <c r="G396" s="31" t="s">
        <v>1515</v>
      </c>
      <c r="H396" s="31" t="s">
        <v>1516</v>
      </c>
      <c r="I396" s="31" t="s">
        <v>1517</v>
      </c>
    </row>
    <row r="397" spans="1:9" s="12" customFormat="1" ht="31.2" customHeight="1" x14ac:dyDescent="0.2">
      <c r="A397" s="37" t="s">
        <v>1191</v>
      </c>
      <c r="B397" s="33" t="s">
        <v>1192</v>
      </c>
      <c r="C397" s="26">
        <v>1996</v>
      </c>
      <c r="D397" s="38" t="s">
        <v>1193</v>
      </c>
      <c r="E397" s="29" t="str">
        <f>HYPERLINK("https://www.lyellcollection.org/toc/sp/105/1")</f>
        <v>https://www.lyellcollection.org/toc/sp/105/1</v>
      </c>
      <c r="F397" s="19" t="s">
        <v>912</v>
      </c>
      <c r="G397" s="31" t="s">
        <v>1515</v>
      </c>
      <c r="H397" s="31" t="s">
        <v>1516</v>
      </c>
      <c r="I397" s="31" t="s">
        <v>1517</v>
      </c>
    </row>
    <row r="398" spans="1:9" s="12" customFormat="1" ht="31.2" customHeight="1" x14ac:dyDescent="0.2">
      <c r="A398" s="30" t="s">
        <v>1194</v>
      </c>
      <c r="B398" s="33" t="s">
        <v>1195</v>
      </c>
      <c r="C398" s="26">
        <v>1996</v>
      </c>
      <c r="D398" s="38" t="s">
        <v>1196</v>
      </c>
      <c r="E398" s="29" t="str">
        <f>HYPERLINK("https://www.lyellcollection.org/toc/sp/104/1")</f>
        <v>https://www.lyellcollection.org/toc/sp/104/1</v>
      </c>
      <c r="F398" s="19" t="s">
        <v>912</v>
      </c>
      <c r="G398" s="31" t="s">
        <v>1515</v>
      </c>
      <c r="H398" s="31" t="s">
        <v>1516</v>
      </c>
      <c r="I398" s="31" t="s">
        <v>1517</v>
      </c>
    </row>
    <row r="399" spans="1:9" s="12" customFormat="1" ht="31.2" customHeight="1" x14ac:dyDescent="0.2">
      <c r="A399" s="37" t="s">
        <v>1197</v>
      </c>
      <c r="B399" s="33" t="s">
        <v>1198</v>
      </c>
      <c r="C399" s="26">
        <v>1996</v>
      </c>
      <c r="D399" s="38" t="s">
        <v>1199</v>
      </c>
      <c r="E399" s="29" t="str">
        <f>HYPERLINK("https://www.lyellcollection.org/toc/sp/103/1")</f>
        <v>https://www.lyellcollection.org/toc/sp/103/1</v>
      </c>
      <c r="F399" s="19" t="s">
        <v>912</v>
      </c>
      <c r="G399" s="31" t="s">
        <v>1515</v>
      </c>
      <c r="H399" s="31" t="s">
        <v>1516</v>
      </c>
      <c r="I399" s="31" t="s">
        <v>1517</v>
      </c>
    </row>
    <row r="400" spans="1:9" s="12" customFormat="1" ht="31.2" customHeight="1" x14ac:dyDescent="0.2">
      <c r="A400" s="30" t="s">
        <v>1200</v>
      </c>
      <c r="B400" s="33" t="s">
        <v>1201</v>
      </c>
      <c r="C400" s="26">
        <v>1996</v>
      </c>
      <c r="D400" s="38" t="s">
        <v>1202</v>
      </c>
      <c r="E400" s="29" t="str">
        <f>HYPERLINK("https://www.lyellcollection.org/toc/sp/102/1")</f>
        <v>https://www.lyellcollection.org/toc/sp/102/1</v>
      </c>
      <c r="F400" s="19" t="s">
        <v>912</v>
      </c>
      <c r="G400" s="31" t="s">
        <v>1515</v>
      </c>
      <c r="H400" s="31" t="s">
        <v>1516</v>
      </c>
      <c r="I400" s="31" t="s">
        <v>1517</v>
      </c>
    </row>
    <row r="401" spans="1:9" s="12" customFormat="1" ht="31.2" customHeight="1" x14ac:dyDescent="0.2">
      <c r="A401" s="37" t="s">
        <v>1203</v>
      </c>
      <c r="B401" s="33" t="s">
        <v>1204</v>
      </c>
      <c r="C401" s="26">
        <v>1996</v>
      </c>
      <c r="D401" s="38" t="s">
        <v>1205</v>
      </c>
      <c r="E401" s="29" t="str">
        <f>HYPERLINK("https://www.lyellcollection.org/toc/sp/101/1")</f>
        <v>https://www.lyellcollection.org/toc/sp/101/1</v>
      </c>
      <c r="F401" s="19" t="s">
        <v>912</v>
      </c>
      <c r="G401" s="31" t="s">
        <v>1515</v>
      </c>
      <c r="H401" s="31" t="s">
        <v>1516</v>
      </c>
      <c r="I401" s="31" t="s">
        <v>1517</v>
      </c>
    </row>
    <row r="402" spans="1:9" s="12" customFormat="1" ht="31.2" customHeight="1" x14ac:dyDescent="0.2">
      <c r="A402" s="30" t="s">
        <v>1206</v>
      </c>
      <c r="B402" s="33" t="s">
        <v>1207</v>
      </c>
      <c r="C402" s="26">
        <v>1996</v>
      </c>
      <c r="D402" s="38" t="s">
        <v>1208</v>
      </c>
      <c r="E402" s="29" t="str">
        <f>HYPERLINK("https://www.lyellcollection.org/toc/sp/100/1")</f>
        <v>https://www.lyellcollection.org/toc/sp/100/1</v>
      </c>
      <c r="F402" s="19" t="s">
        <v>1209</v>
      </c>
      <c r="G402" s="31" t="s">
        <v>1515</v>
      </c>
      <c r="H402" s="31" t="s">
        <v>1516</v>
      </c>
      <c r="I402" s="31" t="s">
        <v>1517</v>
      </c>
    </row>
    <row r="403" spans="1:9" s="12" customFormat="1" ht="31.2" customHeight="1" x14ac:dyDescent="0.2">
      <c r="A403" s="37" t="s">
        <v>1210</v>
      </c>
      <c r="B403" s="33" t="s">
        <v>1211</v>
      </c>
      <c r="C403" s="26">
        <v>1996</v>
      </c>
      <c r="D403" s="38" t="s">
        <v>1212</v>
      </c>
      <c r="E403" s="29" t="str">
        <f>HYPERLINK("https://www.lyellcollection.org/toc/sp/99/1")</f>
        <v>https://www.lyellcollection.org/toc/sp/99/1</v>
      </c>
      <c r="F403" s="19" t="s">
        <v>1209</v>
      </c>
      <c r="G403" s="31" t="s">
        <v>1515</v>
      </c>
      <c r="H403" s="31" t="s">
        <v>1516</v>
      </c>
      <c r="I403" s="31" t="s">
        <v>1517</v>
      </c>
    </row>
    <row r="404" spans="1:9" s="12" customFormat="1" ht="31.2" customHeight="1" x14ac:dyDescent="0.2">
      <c r="A404" s="30" t="s">
        <v>1219</v>
      </c>
      <c r="B404" s="33" t="s">
        <v>1220</v>
      </c>
      <c r="C404" s="26">
        <v>1995</v>
      </c>
      <c r="D404" s="38" t="s">
        <v>1221</v>
      </c>
      <c r="E404" s="29" t="str">
        <f>HYPERLINK("https://www.lyellcollection.org/toc/sp/98/1")</f>
        <v>https://www.lyellcollection.org/toc/sp/98/1</v>
      </c>
      <c r="F404" s="19" t="s">
        <v>1209</v>
      </c>
      <c r="G404" s="31" t="s">
        <v>1515</v>
      </c>
      <c r="H404" s="31" t="s">
        <v>1516</v>
      </c>
      <c r="I404" s="31" t="s">
        <v>1517</v>
      </c>
    </row>
    <row r="405" spans="1:9" s="12" customFormat="1" ht="31.2" customHeight="1" x14ac:dyDescent="0.2">
      <c r="A405" s="37" t="s">
        <v>1222</v>
      </c>
      <c r="B405" s="33" t="s">
        <v>1223</v>
      </c>
      <c r="C405" s="26">
        <v>1995</v>
      </c>
      <c r="D405" s="38" t="s">
        <v>1224</v>
      </c>
      <c r="E405" s="29" t="str">
        <f>HYPERLINK("https://www.lyellcollection.org/toc/sp/97/1")</f>
        <v>https://www.lyellcollection.org/toc/sp/97/1</v>
      </c>
      <c r="F405" s="19" t="s">
        <v>1209</v>
      </c>
      <c r="G405" s="31" t="s">
        <v>1515</v>
      </c>
      <c r="H405" s="31" t="s">
        <v>1516</v>
      </c>
      <c r="I405" s="31" t="s">
        <v>1517</v>
      </c>
    </row>
    <row r="406" spans="1:9" s="12" customFormat="1" ht="31.2" customHeight="1" x14ac:dyDescent="0.2">
      <c r="A406" s="30" t="s">
        <v>1225</v>
      </c>
      <c r="B406" s="33" t="s">
        <v>1226</v>
      </c>
      <c r="C406" s="26">
        <v>1995</v>
      </c>
      <c r="D406" s="38" t="s">
        <v>1227</v>
      </c>
      <c r="E406" s="29" t="str">
        <f>HYPERLINK("https://www.lyellcollection.org/toc/sp/96/1")</f>
        <v>https://www.lyellcollection.org/toc/sp/96/1</v>
      </c>
      <c r="F406" s="19" t="s">
        <v>1209</v>
      </c>
      <c r="G406" s="31" t="s">
        <v>1515</v>
      </c>
      <c r="H406" s="31" t="s">
        <v>1516</v>
      </c>
      <c r="I406" s="31" t="s">
        <v>1517</v>
      </c>
    </row>
    <row r="407" spans="1:9" s="12" customFormat="1" ht="31.2" customHeight="1" x14ac:dyDescent="0.2">
      <c r="A407" s="37" t="s">
        <v>1228</v>
      </c>
      <c r="B407" s="33" t="s">
        <v>1229</v>
      </c>
      <c r="C407" s="26">
        <v>1995</v>
      </c>
      <c r="D407" s="38" t="s">
        <v>1230</v>
      </c>
      <c r="E407" s="29" t="str">
        <f>HYPERLINK("https://www.lyellcollection.org/toc/sp/95/1")</f>
        <v>https://www.lyellcollection.org/toc/sp/95/1</v>
      </c>
      <c r="F407" s="19" t="s">
        <v>1209</v>
      </c>
      <c r="G407" s="31" t="s">
        <v>1515</v>
      </c>
      <c r="H407" s="31" t="s">
        <v>1516</v>
      </c>
      <c r="I407" s="31" t="s">
        <v>1517</v>
      </c>
    </row>
    <row r="408" spans="1:9" s="12" customFormat="1" ht="31.2" customHeight="1" x14ac:dyDescent="0.2">
      <c r="A408" s="30" t="s">
        <v>1231</v>
      </c>
      <c r="B408" s="33" t="s">
        <v>1232</v>
      </c>
      <c r="C408" s="26">
        <v>1995</v>
      </c>
      <c r="D408" s="38" t="s">
        <v>1233</v>
      </c>
      <c r="E408" s="29" t="str">
        <f>HYPERLINK("https://www.lyellcollection.org/toc/sp/94/1")</f>
        <v>https://www.lyellcollection.org/toc/sp/94/1</v>
      </c>
      <c r="F408" s="19" t="s">
        <v>1209</v>
      </c>
      <c r="G408" s="31" t="s">
        <v>1515</v>
      </c>
      <c r="H408" s="31" t="s">
        <v>1516</v>
      </c>
      <c r="I408" s="31" t="s">
        <v>1517</v>
      </c>
    </row>
    <row r="409" spans="1:9" s="12" customFormat="1" ht="31.2" customHeight="1" x14ac:dyDescent="0.2">
      <c r="A409" s="37" t="s">
        <v>1234</v>
      </c>
      <c r="B409" s="33" t="s">
        <v>1235</v>
      </c>
      <c r="C409" s="26">
        <v>1995</v>
      </c>
      <c r="D409" s="38" t="s">
        <v>1236</v>
      </c>
      <c r="E409" s="29" t="str">
        <f>HYPERLINK("https://www.lyellcollection.org/toc/sp/93/1")</f>
        <v>https://www.lyellcollection.org/toc/sp/93/1</v>
      </c>
      <c r="F409" s="19" t="s">
        <v>1209</v>
      </c>
      <c r="G409" s="31" t="s">
        <v>1515</v>
      </c>
      <c r="H409" s="31" t="s">
        <v>1516</v>
      </c>
      <c r="I409" s="31" t="s">
        <v>1517</v>
      </c>
    </row>
    <row r="410" spans="1:9" s="12" customFormat="1" ht="31.2" customHeight="1" x14ac:dyDescent="0.2">
      <c r="A410" s="30" t="s">
        <v>1237</v>
      </c>
      <c r="B410" s="33" t="s">
        <v>1238</v>
      </c>
      <c r="C410" s="26">
        <v>1995</v>
      </c>
      <c r="D410" s="38" t="s">
        <v>1239</v>
      </c>
      <c r="E410" s="29" t="str">
        <f>HYPERLINK("https://www.lyellcollection.org/toc/sp/92/1")</f>
        <v>https://www.lyellcollection.org/toc/sp/92/1</v>
      </c>
      <c r="F410" s="19" t="s">
        <v>1209</v>
      </c>
      <c r="G410" s="31" t="s">
        <v>1515</v>
      </c>
      <c r="H410" s="31" t="s">
        <v>1516</v>
      </c>
      <c r="I410" s="31" t="s">
        <v>1517</v>
      </c>
    </row>
    <row r="411" spans="1:9" s="12" customFormat="1" ht="31.2" customHeight="1" x14ac:dyDescent="0.2">
      <c r="A411" s="37" t="s">
        <v>1240</v>
      </c>
      <c r="B411" s="33" t="s">
        <v>1241</v>
      </c>
      <c r="C411" s="26">
        <v>1995</v>
      </c>
      <c r="D411" s="38" t="s">
        <v>1242</v>
      </c>
      <c r="E411" s="29" t="str">
        <f>HYPERLINK("https://www.lyellcollection.org/toc/sp/91/1")</f>
        <v>https://www.lyellcollection.org/toc/sp/91/1</v>
      </c>
      <c r="F411" s="19" t="s">
        <v>1209</v>
      </c>
      <c r="G411" s="31" t="s">
        <v>1515</v>
      </c>
      <c r="H411" s="31" t="s">
        <v>1516</v>
      </c>
      <c r="I411" s="31" t="s">
        <v>1517</v>
      </c>
    </row>
    <row r="412" spans="1:9" s="12" customFormat="1" ht="31.2" customHeight="1" x14ac:dyDescent="0.2">
      <c r="A412" s="30" t="s">
        <v>1243</v>
      </c>
      <c r="B412" s="33" t="s">
        <v>1244</v>
      </c>
      <c r="C412" s="26">
        <v>1995</v>
      </c>
      <c r="D412" s="38" t="s">
        <v>1245</v>
      </c>
      <c r="E412" s="29" t="str">
        <f>HYPERLINK("https://www.lyellcollection.org/toc/sp/90/1")</f>
        <v>https://www.lyellcollection.org/toc/sp/90/1</v>
      </c>
      <c r="F412" s="19" t="s">
        <v>1209</v>
      </c>
      <c r="G412" s="31" t="s">
        <v>1515</v>
      </c>
      <c r="H412" s="31" t="s">
        <v>1516</v>
      </c>
      <c r="I412" s="31" t="s">
        <v>1517</v>
      </c>
    </row>
    <row r="413" spans="1:9" s="12" customFormat="1" ht="31.2" customHeight="1" x14ac:dyDescent="0.2">
      <c r="A413" s="37" t="s">
        <v>1246</v>
      </c>
      <c r="B413" s="33" t="s">
        <v>1247</v>
      </c>
      <c r="C413" s="26">
        <v>1995</v>
      </c>
      <c r="D413" s="38" t="s">
        <v>1248</v>
      </c>
      <c r="E413" s="29" t="str">
        <f>HYPERLINK("https://www.lyellcollection.org/toc/sp/89/1")</f>
        <v>https://www.lyellcollection.org/toc/sp/89/1</v>
      </c>
      <c r="F413" s="19" t="s">
        <v>1209</v>
      </c>
      <c r="G413" s="31" t="s">
        <v>1515</v>
      </c>
      <c r="H413" s="31" t="s">
        <v>1516</v>
      </c>
      <c r="I413" s="31" t="s">
        <v>1517</v>
      </c>
    </row>
    <row r="414" spans="1:9" s="12" customFormat="1" ht="31.2" customHeight="1" x14ac:dyDescent="0.2">
      <c r="A414" s="30" t="s">
        <v>1249</v>
      </c>
      <c r="B414" s="33" t="s">
        <v>1250</v>
      </c>
      <c r="C414" s="26">
        <v>1995</v>
      </c>
      <c r="D414" s="38" t="s">
        <v>1251</v>
      </c>
      <c r="E414" s="29" t="str">
        <f>HYPERLINK("https://www.lyellcollection.org/toc/sp/88/1")</f>
        <v>https://www.lyellcollection.org/toc/sp/88/1</v>
      </c>
      <c r="F414" s="19" t="s">
        <v>1209</v>
      </c>
      <c r="G414" s="31" t="s">
        <v>1515</v>
      </c>
      <c r="H414" s="31" t="s">
        <v>1516</v>
      </c>
      <c r="I414" s="31" t="s">
        <v>1517</v>
      </c>
    </row>
    <row r="415" spans="1:9" s="12" customFormat="1" ht="31.2" customHeight="1" x14ac:dyDescent="0.2">
      <c r="A415" s="37" t="s">
        <v>1252</v>
      </c>
      <c r="B415" s="33" t="s">
        <v>1253</v>
      </c>
      <c r="C415" s="26">
        <v>1995</v>
      </c>
      <c r="D415" s="38" t="s">
        <v>1254</v>
      </c>
      <c r="E415" s="29" t="str">
        <f>HYPERLINK("https://www.lyellcollection.org/toc/sp/87/1")</f>
        <v>https://www.lyellcollection.org/toc/sp/87/1</v>
      </c>
      <c r="F415" s="19" t="s">
        <v>1209</v>
      </c>
      <c r="G415" s="31" t="s">
        <v>1515</v>
      </c>
      <c r="H415" s="31" t="s">
        <v>1516</v>
      </c>
      <c r="I415" s="31" t="s">
        <v>1517</v>
      </c>
    </row>
    <row r="416" spans="1:9" s="12" customFormat="1" ht="31.2" customHeight="1" x14ac:dyDescent="0.2">
      <c r="A416" s="30" t="s">
        <v>1255</v>
      </c>
      <c r="B416" s="33" t="s">
        <v>1256</v>
      </c>
      <c r="C416" s="26">
        <v>1995</v>
      </c>
      <c r="D416" s="38" t="s">
        <v>1257</v>
      </c>
      <c r="E416" s="29" t="str">
        <f>HYPERLINK("https://www.lyellcollection.org/toc/sp/86/1")</f>
        <v>https://www.lyellcollection.org/toc/sp/86/1</v>
      </c>
      <c r="F416" s="19" t="s">
        <v>1209</v>
      </c>
      <c r="G416" s="31" t="s">
        <v>1515</v>
      </c>
      <c r="H416" s="31" t="s">
        <v>1516</v>
      </c>
      <c r="I416" s="31" t="s">
        <v>1517</v>
      </c>
    </row>
    <row r="417" spans="1:9" s="12" customFormat="1" ht="31.2" customHeight="1" x14ac:dyDescent="0.2">
      <c r="A417" s="37" t="s">
        <v>1258</v>
      </c>
      <c r="B417" s="33" t="s">
        <v>1259</v>
      </c>
      <c r="C417" s="26">
        <v>1995</v>
      </c>
      <c r="D417" s="38" t="s">
        <v>1260</v>
      </c>
      <c r="E417" s="29" t="str">
        <f>HYPERLINK("https://www.lyellcollection.org/toc/sp/85/1")</f>
        <v>https://www.lyellcollection.org/toc/sp/85/1</v>
      </c>
      <c r="F417" s="19" t="s">
        <v>1209</v>
      </c>
      <c r="G417" s="31" t="s">
        <v>1515</v>
      </c>
      <c r="H417" s="31" t="s">
        <v>1516</v>
      </c>
      <c r="I417" s="31" t="s">
        <v>1517</v>
      </c>
    </row>
    <row r="418" spans="1:9" s="12" customFormat="1" ht="31.2" customHeight="1" x14ac:dyDescent="0.2">
      <c r="A418" s="30" t="s">
        <v>1261</v>
      </c>
      <c r="B418" s="33" t="s">
        <v>1262</v>
      </c>
      <c r="C418" s="26">
        <v>1995</v>
      </c>
      <c r="D418" s="38" t="s">
        <v>1263</v>
      </c>
      <c r="E418" s="29" t="str">
        <f>HYPERLINK("https://www.lyellcollection.org/toc/sp/84/1")</f>
        <v>https://www.lyellcollection.org/toc/sp/84/1</v>
      </c>
      <c r="F418" s="19" t="s">
        <v>1209</v>
      </c>
      <c r="G418" s="31" t="s">
        <v>1515</v>
      </c>
      <c r="H418" s="31" t="s">
        <v>1516</v>
      </c>
      <c r="I418" s="31" t="s">
        <v>1517</v>
      </c>
    </row>
    <row r="419" spans="1:9" s="12" customFormat="1" ht="31.2" customHeight="1" x14ac:dyDescent="0.2">
      <c r="A419" s="30" t="s">
        <v>1509</v>
      </c>
      <c r="B419" s="33" t="s">
        <v>1270</v>
      </c>
      <c r="C419" s="26">
        <v>1995</v>
      </c>
      <c r="D419" s="38" t="s">
        <v>1271</v>
      </c>
      <c r="E419" s="29" t="str">
        <f>HYPERLINK("https://www.lyellcollection.org/toc/sp/83/1")</f>
        <v>https://www.lyellcollection.org/toc/sp/83/1</v>
      </c>
      <c r="F419" s="19" t="s">
        <v>1209</v>
      </c>
      <c r="G419" s="31" t="s">
        <v>1515</v>
      </c>
      <c r="H419" s="31" t="s">
        <v>1516</v>
      </c>
      <c r="I419" s="31" t="s">
        <v>1517</v>
      </c>
    </row>
    <row r="420" spans="1:9" s="12" customFormat="1" ht="31.2" customHeight="1" x14ac:dyDescent="0.2">
      <c r="A420" s="30" t="s">
        <v>1264</v>
      </c>
      <c r="B420" s="33" t="s">
        <v>1265</v>
      </c>
      <c r="C420" s="26">
        <v>1995</v>
      </c>
      <c r="D420" s="38" t="s">
        <v>1266</v>
      </c>
      <c r="E420" s="29" t="str">
        <f>HYPERLINK("https://www.lyellcollection.org/toc/sp/82/1")</f>
        <v>https://www.lyellcollection.org/toc/sp/82/1</v>
      </c>
      <c r="F420" s="19" t="s">
        <v>1209</v>
      </c>
      <c r="G420" s="31" t="s">
        <v>1515</v>
      </c>
      <c r="H420" s="31" t="s">
        <v>1516</v>
      </c>
      <c r="I420" s="31" t="s">
        <v>1517</v>
      </c>
    </row>
    <row r="421" spans="1:9" s="12" customFormat="1" ht="31.2" customHeight="1" x14ac:dyDescent="0.2">
      <c r="A421" s="37" t="s">
        <v>1272</v>
      </c>
      <c r="B421" s="33" t="s">
        <v>1273</v>
      </c>
      <c r="C421" s="26">
        <v>1994</v>
      </c>
      <c r="D421" s="38" t="s">
        <v>1274</v>
      </c>
      <c r="E421" s="29" t="str">
        <f>HYPERLINK("https://www.lyellcollection.org/toc/sp/81/1")</f>
        <v>https://www.lyellcollection.org/toc/sp/81/1</v>
      </c>
      <c r="F421" s="19" t="s">
        <v>1209</v>
      </c>
      <c r="G421" s="31" t="s">
        <v>1515</v>
      </c>
      <c r="H421" s="31" t="s">
        <v>1516</v>
      </c>
      <c r="I421" s="31" t="s">
        <v>1517</v>
      </c>
    </row>
    <row r="422" spans="1:9" s="12" customFormat="1" ht="31.2" customHeight="1" x14ac:dyDescent="0.2">
      <c r="A422" s="30" t="s">
        <v>1267</v>
      </c>
      <c r="B422" s="33" t="s">
        <v>1268</v>
      </c>
      <c r="C422" s="26">
        <v>1995</v>
      </c>
      <c r="D422" s="38" t="s">
        <v>1269</v>
      </c>
      <c r="E422" s="29" t="str">
        <f>HYPERLINK("https://www.lyellcollection.org/toc/sp/80/1")</f>
        <v>https://www.lyellcollection.org/toc/sp/80/1</v>
      </c>
      <c r="F422" s="19" t="s">
        <v>1209</v>
      </c>
      <c r="G422" s="31" t="s">
        <v>1515</v>
      </c>
      <c r="H422" s="31" t="s">
        <v>1516</v>
      </c>
      <c r="I422" s="31" t="s">
        <v>1517</v>
      </c>
    </row>
    <row r="423" spans="1:9" s="12" customFormat="1" ht="31.2" customHeight="1" x14ac:dyDescent="0.2">
      <c r="A423" s="37" t="s">
        <v>1275</v>
      </c>
      <c r="B423" s="33" t="s">
        <v>1276</v>
      </c>
      <c r="C423" s="26">
        <v>1994</v>
      </c>
      <c r="D423" s="38" t="s">
        <v>1277</v>
      </c>
      <c r="E423" s="29" t="str">
        <f>HYPERLINK("https://www.lyellcollection.org/toc/sp/79/1")</f>
        <v>https://www.lyellcollection.org/toc/sp/79/1</v>
      </c>
      <c r="F423" s="19" t="s">
        <v>1209</v>
      </c>
      <c r="G423" s="31" t="s">
        <v>1515</v>
      </c>
      <c r="H423" s="31" t="s">
        <v>1516</v>
      </c>
      <c r="I423" s="31" t="s">
        <v>1517</v>
      </c>
    </row>
    <row r="424" spans="1:9" s="12" customFormat="1" ht="31.2" customHeight="1" x14ac:dyDescent="0.2">
      <c r="A424" s="30" t="s">
        <v>1278</v>
      </c>
      <c r="B424" s="33" t="s">
        <v>1279</v>
      </c>
      <c r="C424" s="26">
        <v>1994</v>
      </c>
      <c r="D424" s="38" t="s">
        <v>1280</v>
      </c>
      <c r="E424" s="29" t="str">
        <f>HYPERLINK("https://www.lyellcollection.org/toc/sp/78/1")</f>
        <v>https://www.lyellcollection.org/toc/sp/78/1</v>
      </c>
      <c r="F424" s="19" t="s">
        <v>1209</v>
      </c>
      <c r="G424" s="31" t="s">
        <v>1515</v>
      </c>
      <c r="H424" s="31" t="s">
        <v>1516</v>
      </c>
      <c r="I424" s="31" t="s">
        <v>1517</v>
      </c>
    </row>
    <row r="425" spans="1:9" s="12" customFormat="1" ht="31.2" customHeight="1" x14ac:dyDescent="0.2">
      <c r="A425" s="37" t="s">
        <v>1281</v>
      </c>
      <c r="B425" s="33" t="s">
        <v>1282</v>
      </c>
      <c r="C425" s="26">
        <v>1994</v>
      </c>
      <c r="D425" s="38" t="s">
        <v>1283</v>
      </c>
      <c r="E425" s="29" t="str">
        <f>HYPERLINK("https://www.lyellcollection.org/toc/sp/77/1")</f>
        <v>https://www.lyellcollection.org/toc/sp/77/1</v>
      </c>
      <c r="F425" s="19" t="s">
        <v>1209</v>
      </c>
      <c r="G425" s="31" t="s">
        <v>1515</v>
      </c>
      <c r="H425" s="31" t="s">
        <v>1516</v>
      </c>
      <c r="I425" s="31" t="s">
        <v>1517</v>
      </c>
    </row>
    <row r="426" spans="1:9" s="12" customFormat="1" ht="31.2" customHeight="1" x14ac:dyDescent="0.2">
      <c r="A426" s="30" t="s">
        <v>1284</v>
      </c>
      <c r="B426" s="33" t="s">
        <v>1285</v>
      </c>
      <c r="C426" s="26">
        <v>1993</v>
      </c>
      <c r="D426" s="38" t="s">
        <v>1286</v>
      </c>
      <c r="E426" s="29" t="str">
        <f>HYPERLINK("https://www.lyellcollection.org/toc/sp/76/1")</f>
        <v>https://www.lyellcollection.org/toc/sp/76/1</v>
      </c>
      <c r="F426" s="19" t="s">
        <v>1209</v>
      </c>
      <c r="G426" s="31" t="s">
        <v>1515</v>
      </c>
      <c r="H426" s="31" t="s">
        <v>1516</v>
      </c>
      <c r="I426" s="31" t="s">
        <v>1517</v>
      </c>
    </row>
    <row r="427" spans="1:9" s="12" customFormat="1" ht="31.2" customHeight="1" x14ac:dyDescent="0.2">
      <c r="A427" s="37" t="s">
        <v>1287</v>
      </c>
      <c r="B427" s="33" t="s">
        <v>1288</v>
      </c>
      <c r="C427" s="26">
        <v>1993</v>
      </c>
      <c r="D427" s="38" t="s">
        <v>1289</v>
      </c>
      <c r="E427" s="29" t="str">
        <f>HYPERLINK("https://www.lyellcollection.org/toc/sp/75/1")</f>
        <v>https://www.lyellcollection.org/toc/sp/75/1</v>
      </c>
      <c r="F427" s="19" t="s">
        <v>1209</v>
      </c>
      <c r="G427" s="31" t="s">
        <v>1515</v>
      </c>
      <c r="H427" s="31" t="s">
        <v>1516</v>
      </c>
      <c r="I427" s="31" t="s">
        <v>1517</v>
      </c>
    </row>
    <row r="428" spans="1:9" s="12" customFormat="1" ht="31.2" customHeight="1" x14ac:dyDescent="0.2">
      <c r="A428" s="30" t="s">
        <v>1290</v>
      </c>
      <c r="B428" s="33" t="s">
        <v>1291</v>
      </c>
      <c r="C428" s="26">
        <v>1993</v>
      </c>
      <c r="D428" s="38" t="s">
        <v>1292</v>
      </c>
      <c r="E428" s="29" t="str">
        <f>HYPERLINK("https://www.lyellcollection.org/toc/sp/74/1")</f>
        <v>https://www.lyellcollection.org/toc/sp/74/1</v>
      </c>
      <c r="F428" s="19" t="s">
        <v>1209</v>
      </c>
      <c r="G428" s="31" t="s">
        <v>1515</v>
      </c>
      <c r="H428" s="31" t="s">
        <v>1516</v>
      </c>
      <c r="I428" s="31" t="s">
        <v>1517</v>
      </c>
    </row>
    <row r="429" spans="1:9" s="12" customFormat="1" ht="31.2" customHeight="1" x14ac:dyDescent="0.2">
      <c r="A429" s="37" t="s">
        <v>1293</v>
      </c>
      <c r="B429" s="27" t="s">
        <v>1294</v>
      </c>
      <c r="C429" s="26">
        <v>1993</v>
      </c>
      <c r="D429" s="38" t="s">
        <v>1295</v>
      </c>
      <c r="E429" s="29" t="str">
        <f>HYPERLINK("https://www.lyellcollection.org/toc/sp/73/1")</f>
        <v>https://www.lyellcollection.org/toc/sp/73/1</v>
      </c>
      <c r="F429" s="19" t="s">
        <v>1209</v>
      </c>
      <c r="G429" s="31" t="s">
        <v>1515</v>
      </c>
      <c r="H429" s="31" t="s">
        <v>1516</v>
      </c>
      <c r="I429" s="31" t="s">
        <v>1517</v>
      </c>
    </row>
    <row r="430" spans="1:9" s="12" customFormat="1" ht="31.2" customHeight="1" x14ac:dyDescent="0.2">
      <c r="A430" s="30" t="s">
        <v>1296</v>
      </c>
      <c r="B430" s="33" t="s">
        <v>1297</v>
      </c>
      <c r="C430" s="26">
        <v>1993</v>
      </c>
      <c r="D430" s="38" t="s">
        <v>1298</v>
      </c>
      <c r="E430" s="29" t="str">
        <f>HYPERLINK("https://www.lyellcollection.org/toc/sp/72/1")</f>
        <v>https://www.lyellcollection.org/toc/sp/72/1</v>
      </c>
      <c r="F430" s="19" t="s">
        <v>1209</v>
      </c>
      <c r="G430" s="31" t="s">
        <v>1515</v>
      </c>
      <c r="H430" s="31" t="s">
        <v>1516</v>
      </c>
      <c r="I430" s="31" t="s">
        <v>1517</v>
      </c>
    </row>
    <row r="431" spans="1:9" s="12" customFormat="1" ht="31.2" customHeight="1" x14ac:dyDescent="0.2">
      <c r="A431" s="37" t="s">
        <v>1299</v>
      </c>
      <c r="B431" s="33" t="s">
        <v>1300</v>
      </c>
      <c r="C431" s="26">
        <v>1993</v>
      </c>
      <c r="D431" s="38" t="s">
        <v>1301</v>
      </c>
      <c r="E431" s="29" t="str">
        <f>HYPERLINK("https://www.lyellcollection.org/toc/sp/71/1")</f>
        <v>https://www.lyellcollection.org/toc/sp/71/1</v>
      </c>
      <c r="F431" s="19" t="s">
        <v>1209</v>
      </c>
      <c r="G431" s="31" t="s">
        <v>1515</v>
      </c>
      <c r="H431" s="31" t="s">
        <v>1516</v>
      </c>
      <c r="I431" s="31" t="s">
        <v>1517</v>
      </c>
    </row>
    <row r="432" spans="1:9" s="12" customFormat="1" ht="31.2" customHeight="1" x14ac:dyDescent="0.2">
      <c r="A432" s="30" t="s">
        <v>1302</v>
      </c>
      <c r="B432" s="33" t="s">
        <v>1303</v>
      </c>
      <c r="C432" s="26">
        <v>1993</v>
      </c>
      <c r="D432" s="38" t="s">
        <v>1304</v>
      </c>
      <c r="E432" s="29" t="str">
        <f>HYPERLINK("https://www.lyellcollection.org/toc/sp/70/1")</f>
        <v>https://www.lyellcollection.org/toc/sp/70/1</v>
      </c>
      <c r="F432" s="19" t="s">
        <v>1209</v>
      </c>
      <c r="G432" s="31" t="s">
        <v>1515</v>
      </c>
      <c r="H432" s="31" t="s">
        <v>1516</v>
      </c>
      <c r="I432" s="31" t="s">
        <v>1517</v>
      </c>
    </row>
    <row r="433" spans="1:9" s="12" customFormat="1" ht="31.2" customHeight="1" x14ac:dyDescent="0.2">
      <c r="A433" s="37" t="s">
        <v>1305</v>
      </c>
      <c r="B433" s="33" t="s">
        <v>1306</v>
      </c>
      <c r="C433" s="26">
        <v>1992</v>
      </c>
      <c r="D433" s="38" t="s">
        <v>1307</v>
      </c>
      <c r="E433" s="29" t="str">
        <f>HYPERLINK("https://www.lyellcollection.org/toc/sp/69/1")</f>
        <v>https://www.lyellcollection.org/toc/sp/69/1</v>
      </c>
      <c r="F433" s="19" t="s">
        <v>1209</v>
      </c>
      <c r="G433" s="31" t="s">
        <v>1515</v>
      </c>
      <c r="H433" s="31" t="s">
        <v>1516</v>
      </c>
      <c r="I433" s="31" t="s">
        <v>1517</v>
      </c>
    </row>
    <row r="434" spans="1:9" s="12" customFormat="1" ht="31.2" customHeight="1" x14ac:dyDescent="0.2">
      <c r="A434" s="30" t="s">
        <v>1308</v>
      </c>
      <c r="B434" s="33" t="s">
        <v>1309</v>
      </c>
      <c r="C434" s="26">
        <v>1992</v>
      </c>
      <c r="D434" s="38" t="s">
        <v>1310</v>
      </c>
      <c r="E434" s="29" t="str">
        <f>HYPERLINK("https://www.lyellcollection.org/toc/sp/68/1")</f>
        <v>https://www.lyellcollection.org/toc/sp/68/1</v>
      </c>
      <c r="F434" s="19" t="s">
        <v>1209</v>
      </c>
      <c r="G434" s="31" t="s">
        <v>1515</v>
      </c>
      <c r="H434" s="31" t="s">
        <v>1516</v>
      </c>
      <c r="I434" s="31" t="s">
        <v>1517</v>
      </c>
    </row>
    <row r="435" spans="1:9" s="12" customFormat="1" ht="31.2" customHeight="1" x14ac:dyDescent="0.2">
      <c r="A435" s="37" t="s">
        <v>1311</v>
      </c>
      <c r="B435" s="33" t="s">
        <v>1312</v>
      </c>
      <c r="C435" s="26">
        <v>1992</v>
      </c>
      <c r="D435" s="38" t="s">
        <v>1313</v>
      </c>
      <c r="E435" s="29" t="str">
        <f>HYPERLINK("https://www.lyellcollection.org/toc/sp/67/1")</f>
        <v>https://www.lyellcollection.org/toc/sp/67/1</v>
      </c>
      <c r="F435" s="19" t="s">
        <v>1209</v>
      </c>
      <c r="G435" s="31" t="s">
        <v>1515</v>
      </c>
      <c r="H435" s="31" t="s">
        <v>1516</v>
      </c>
      <c r="I435" s="31" t="s">
        <v>1517</v>
      </c>
    </row>
    <row r="436" spans="1:9" s="12" customFormat="1" ht="31.2" customHeight="1" x14ac:dyDescent="0.2">
      <c r="A436" s="30" t="s">
        <v>1314</v>
      </c>
      <c r="B436" s="33" t="s">
        <v>1315</v>
      </c>
      <c r="C436" s="26">
        <v>1992</v>
      </c>
      <c r="D436" s="38" t="s">
        <v>1316</v>
      </c>
      <c r="E436" s="29" t="str">
        <f>HYPERLINK("https://www.lyellcollection.org/toc/sp/66/1")</f>
        <v>https://www.lyellcollection.org/toc/sp/66/1</v>
      </c>
      <c r="F436" s="19" t="s">
        <v>1209</v>
      </c>
      <c r="G436" s="31" t="s">
        <v>1515</v>
      </c>
      <c r="H436" s="31" t="s">
        <v>1516</v>
      </c>
      <c r="I436" s="31" t="s">
        <v>1517</v>
      </c>
    </row>
    <row r="437" spans="1:9" s="12" customFormat="1" ht="31.2" customHeight="1" x14ac:dyDescent="0.2">
      <c r="A437" s="37" t="s">
        <v>1317</v>
      </c>
      <c r="B437" s="33" t="s">
        <v>1318</v>
      </c>
      <c r="C437" s="26">
        <v>1992</v>
      </c>
      <c r="D437" s="38" t="s">
        <v>1319</v>
      </c>
      <c r="E437" s="29" t="str">
        <f>HYPERLINK("https://www.lyellcollection.org/toc/sp/65/1")</f>
        <v>https://www.lyellcollection.org/toc/sp/65/1</v>
      </c>
      <c r="F437" s="19" t="s">
        <v>1209</v>
      </c>
      <c r="G437" s="31" t="s">
        <v>1515</v>
      </c>
      <c r="H437" s="31" t="s">
        <v>1516</v>
      </c>
      <c r="I437" s="31" t="s">
        <v>1517</v>
      </c>
    </row>
    <row r="438" spans="1:9" s="12" customFormat="1" ht="31.2" customHeight="1" x14ac:dyDescent="0.2">
      <c r="A438" s="30" t="s">
        <v>1320</v>
      </c>
      <c r="B438" s="33" t="s">
        <v>1321</v>
      </c>
      <c r="C438" s="26">
        <v>1992</v>
      </c>
      <c r="D438" s="38" t="s">
        <v>1322</v>
      </c>
      <c r="E438" s="29" t="str">
        <f>HYPERLINK("https://www.lyellcollection.org/toc/sp/64/1")</f>
        <v>https://www.lyellcollection.org/toc/sp/64/1</v>
      </c>
      <c r="F438" s="19" t="s">
        <v>1209</v>
      </c>
      <c r="G438" s="31" t="s">
        <v>1515</v>
      </c>
      <c r="H438" s="31" t="s">
        <v>1516</v>
      </c>
      <c r="I438" s="31" t="s">
        <v>1517</v>
      </c>
    </row>
    <row r="439" spans="1:9" s="12" customFormat="1" ht="31.2" customHeight="1" x14ac:dyDescent="0.2">
      <c r="A439" s="37" t="s">
        <v>1323</v>
      </c>
      <c r="B439" s="33" t="s">
        <v>1324</v>
      </c>
      <c r="C439" s="26">
        <v>1992</v>
      </c>
      <c r="D439" s="38" t="s">
        <v>1325</v>
      </c>
      <c r="E439" s="29" t="str">
        <f>HYPERLINK("https://www.lyellcollection.org/toc/sp/63/1")</f>
        <v>https://www.lyellcollection.org/toc/sp/63/1</v>
      </c>
      <c r="F439" s="19" t="s">
        <v>1209</v>
      </c>
      <c r="G439" s="31" t="s">
        <v>1515</v>
      </c>
      <c r="H439" s="31" t="s">
        <v>1516</v>
      </c>
      <c r="I439" s="31" t="s">
        <v>1517</v>
      </c>
    </row>
    <row r="440" spans="1:9" s="12" customFormat="1" ht="31.2" customHeight="1" x14ac:dyDescent="0.2">
      <c r="A440" s="30" t="s">
        <v>1326</v>
      </c>
      <c r="B440" s="33" t="s">
        <v>1327</v>
      </c>
      <c r="C440" s="26">
        <v>1992</v>
      </c>
      <c r="D440" s="38" t="s">
        <v>1328</v>
      </c>
      <c r="E440" s="29" t="str">
        <f>HYPERLINK("https://www.lyellcollection.org/toc/sp/62/1")</f>
        <v>https://www.lyellcollection.org/toc/sp/62/1</v>
      </c>
      <c r="F440" s="19" t="s">
        <v>1209</v>
      </c>
      <c r="G440" s="31" t="s">
        <v>1515</v>
      </c>
      <c r="H440" s="31" t="s">
        <v>1516</v>
      </c>
      <c r="I440" s="31" t="s">
        <v>1517</v>
      </c>
    </row>
    <row r="441" spans="1:9" s="12" customFormat="1" ht="31.2" customHeight="1" x14ac:dyDescent="0.2">
      <c r="A441" s="37" t="s">
        <v>1329</v>
      </c>
      <c r="B441" s="33" t="s">
        <v>1330</v>
      </c>
      <c r="C441" s="26">
        <v>1992</v>
      </c>
      <c r="D441" s="38" t="s">
        <v>1331</v>
      </c>
      <c r="E441" s="29" t="str">
        <f>HYPERLINK("https://www.lyellcollection.org/toc/sp/61/1")</f>
        <v>https://www.lyellcollection.org/toc/sp/61/1</v>
      </c>
      <c r="F441" s="19" t="s">
        <v>1209</v>
      </c>
      <c r="G441" s="31" t="s">
        <v>1515</v>
      </c>
      <c r="H441" s="31" t="s">
        <v>1516</v>
      </c>
      <c r="I441" s="31" t="s">
        <v>1517</v>
      </c>
    </row>
    <row r="442" spans="1:9" s="12" customFormat="1" ht="31.2" customHeight="1" x14ac:dyDescent="0.2">
      <c r="A442" s="30" t="s">
        <v>1332</v>
      </c>
      <c r="B442" s="33" t="s">
        <v>1333</v>
      </c>
      <c r="C442" s="26">
        <v>1992</v>
      </c>
      <c r="D442" s="38" t="s">
        <v>1334</v>
      </c>
      <c r="E442" s="29" t="str">
        <f>HYPERLINK("https://www.lyellcollection.org/toc/sp/60/1")</f>
        <v>https://www.lyellcollection.org/toc/sp/60/1</v>
      </c>
      <c r="F442" s="19" t="s">
        <v>1209</v>
      </c>
      <c r="G442" s="31" t="s">
        <v>1515</v>
      </c>
      <c r="H442" s="31" t="s">
        <v>1516</v>
      </c>
      <c r="I442" s="31" t="s">
        <v>1517</v>
      </c>
    </row>
    <row r="443" spans="1:9" s="12" customFormat="1" ht="31.2" customHeight="1" x14ac:dyDescent="0.2">
      <c r="A443" s="30" t="s">
        <v>1338</v>
      </c>
      <c r="B443" s="33" t="s">
        <v>1339</v>
      </c>
      <c r="C443" s="26">
        <v>1991</v>
      </c>
      <c r="D443" s="38" t="s">
        <v>1340</v>
      </c>
      <c r="E443" s="29" t="str">
        <f>HYPERLINK("https://www.lyellcollection.org/toc/sp/59/1")</f>
        <v>https://www.lyellcollection.org/toc/sp/59/1</v>
      </c>
      <c r="F443" s="19" t="s">
        <v>1209</v>
      </c>
      <c r="G443" s="31" t="s">
        <v>1515</v>
      </c>
      <c r="H443" s="31" t="s">
        <v>1516</v>
      </c>
      <c r="I443" s="31" t="s">
        <v>1517</v>
      </c>
    </row>
    <row r="444" spans="1:9" s="12" customFormat="1" ht="31.2" customHeight="1" x14ac:dyDescent="0.2">
      <c r="A444" s="30" t="s">
        <v>1341</v>
      </c>
      <c r="B444" s="33" t="s">
        <v>1342</v>
      </c>
      <c r="C444" s="26">
        <v>1991</v>
      </c>
      <c r="D444" s="38" t="s">
        <v>1343</v>
      </c>
      <c r="E444" s="29" t="str">
        <f>HYPERLINK("https://www.lyellcollection.org/toc/sp/58/1")</f>
        <v>https://www.lyellcollection.org/toc/sp/58/1</v>
      </c>
      <c r="F444" s="19" t="s">
        <v>1209</v>
      </c>
      <c r="G444" s="31" t="s">
        <v>1515</v>
      </c>
      <c r="H444" s="31" t="s">
        <v>1516</v>
      </c>
      <c r="I444" s="31" t="s">
        <v>1517</v>
      </c>
    </row>
    <row r="445" spans="1:9" s="12" customFormat="1" ht="31.2" customHeight="1" x14ac:dyDescent="0.2">
      <c r="A445" s="30" t="s">
        <v>1344</v>
      </c>
      <c r="B445" s="33" t="s">
        <v>1345</v>
      </c>
      <c r="C445" s="26">
        <v>1991</v>
      </c>
      <c r="D445" s="38" t="s">
        <v>1346</v>
      </c>
      <c r="E445" s="29" t="str">
        <f>HYPERLINK("https://www.lyellcollection.org/toc/sp/57/1")</f>
        <v>https://www.lyellcollection.org/toc/sp/57/1</v>
      </c>
      <c r="F445" s="19" t="s">
        <v>1209</v>
      </c>
      <c r="G445" s="31" t="s">
        <v>1515</v>
      </c>
      <c r="H445" s="31" t="s">
        <v>1516</v>
      </c>
      <c r="I445" s="31" t="s">
        <v>1517</v>
      </c>
    </row>
    <row r="446" spans="1:9" s="12" customFormat="1" ht="31.2" customHeight="1" x14ac:dyDescent="0.2">
      <c r="A446" s="30" t="s">
        <v>1347</v>
      </c>
      <c r="B446" s="33" t="s">
        <v>1348</v>
      </c>
      <c r="C446" s="26">
        <v>1991</v>
      </c>
      <c r="D446" s="38" t="s">
        <v>1349</v>
      </c>
      <c r="E446" s="29" t="str">
        <f>HYPERLINK("https://www.lyellcollection.org/toc/sp/56/1")</f>
        <v>https://www.lyellcollection.org/toc/sp/56/1</v>
      </c>
      <c r="F446" s="19" t="s">
        <v>1209</v>
      </c>
      <c r="G446" s="31" t="s">
        <v>1515</v>
      </c>
      <c r="H446" s="31" t="s">
        <v>1516</v>
      </c>
      <c r="I446" s="31" t="s">
        <v>1517</v>
      </c>
    </row>
    <row r="447" spans="1:9" s="12" customFormat="1" ht="31.2" customHeight="1" x14ac:dyDescent="0.2">
      <c r="A447" s="37" t="s">
        <v>1350</v>
      </c>
      <c r="B447" s="33" t="s">
        <v>1351</v>
      </c>
      <c r="C447" s="26">
        <v>1990</v>
      </c>
      <c r="D447" s="38" t="s">
        <v>1352</v>
      </c>
      <c r="E447" s="29" t="str">
        <f>HYPERLINK("https://www.lyellcollection.org/toc/sp/55/1")</f>
        <v>https://www.lyellcollection.org/toc/sp/55/1</v>
      </c>
      <c r="F447" s="19" t="s">
        <v>1209</v>
      </c>
      <c r="G447" s="31" t="s">
        <v>1515</v>
      </c>
      <c r="H447" s="31" t="s">
        <v>1516</v>
      </c>
      <c r="I447" s="31" t="s">
        <v>1517</v>
      </c>
    </row>
    <row r="448" spans="1:9" s="12" customFormat="1" ht="31.2" customHeight="1" x14ac:dyDescent="0.2">
      <c r="A448" s="30" t="s">
        <v>1353</v>
      </c>
      <c r="B448" s="33" t="s">
        <v>1354</v>
      </c>
      <c r="C448" s="26">
        <v>1990</v>
      </c>
      <c r="D448" s="38" t="s">
        <v>1355</v>
      </c>
      <c r="E448" s="29" t="str">
        <f>HYPERLINK("https://www.lyellcollection.org/toc/sp/54/1")</f>
        <v>https://www.lyellcollection.org/toc/sp/54/1</v>
      </c>
      <c r="F448" s="19" t="s">
        <v>1209</v>
      </c>
      <c r="G448" s="31" t="s">
        <v>1515</v>
      </c>
      <c r="H448" s="31" t="s">
        <v>1516</v>
      </c>
      <c r="I448" s="31" t="s">
        <v>1517</v>
      </c>
    </row>
    <row r="449" spans="1:24" s="12" customFormat="1" ht="31.2" customHeight="1" x14ac:dyDescent="0.2">
      <c r="A449" s="37" t="s">
        <v>1356</v>
      </c>
      <c r="B449" s="33" t="s">
        <v>1357</v>
      </c>
      <c r="C449" s="26">
        <v>1990</v>
      </c>
      <c r="D449" s="38" t="s">
        <v>1358</v>
      </c>
      <c r="E449" s="29" t="str">
        <f>HYPERLINK("https://www.lyellcollection.org/toc/sp/53/1")</f>
        <v>https://www.lyellcollection.org/toc/sp/53/1</v>
      </c>
      <c r="F449" s="19" t="s">
        <v>1209</v>
      </c>
      <c r="G449" s="31" t="s">
        <v>1515</v>
      </c>
      <c r="H449" s="31" t="s">
        <v>1516</v>
      </c>
      <c r="I449" s="31" t="s">
        <v>1517</v>
      </c>
    </row>
    <row r="450" spans="1:24" s="12" customFormat="1" ht="31.2" customHeight="1" x14ac:dyDescent="0.2">
      <c r="A450" s="30" t="s">
        <v>1359</v>
      </c>
      <c r="B450" s="33" t="s">
        <v>1360</v>
      </c>
      <c r="C450" s="26">
        <v>1990</v>
      </c>
      <c r="D450" s="38" t="s">
        <v>1361</v>
      </c>
      <c r="E450" s="29" t="str">
        <f>HYPERLINK("https://www.lyellcollection.org/toc/sp/52/1")</f>
        <v>https://www.lyellcollection.org/toc/sp/52/1</v>
      </c>
      <c r="F450" s="19" t="s">
        <v>1209</v>
      </c>
      <c r="G450" s="31" t="s">
        <v>1515</v>
      </c>
      <c r="H450" s="31" t="s">
        <v>1516</v>
      </c>
      <c r="I450" s="31" t="s">
        <v>1517</v>
      </c>
    </row>
    <row r="451" spans="1:24" s="12" customFormat="1" ht="31.2" customHeight="1" x14ac:dyDescent="0.2">
      <c r="A451" s="37" t="s">
        <v>1362</v>
      </c>
      <c r="B451" s="33" t="s">
        <v>1363</v>
      </c>
      <c r="C451" s="26">
        <v>1990</v>
      </c>
      <c r="D451" s="38" t="s">
        <v>1364</v>
      </c>
      <c r="E451" s="29" t="str">
        <f>HYPERLINK("https://www.lyellcollection.org/toc/sp/51/1")</f>
        <v>https://www.lyellcollection.org/toc/sp/51/1</v>
      </c>
      <c r="F451" s="19" t="s">
        <v>1209</v>
      </c>
      <c r="G451" s="31" t="s">
        <v>1515</v>
      </c>
      <c r="H451" s="31" t="s">
        <v>1516</v>
      </c>
      <c r="I451" s="31" t="s">
        <v>1517</v>
      </c>
    </row>
    <row r="452" spans="1:24" s="12" customFormat="1" ht="31.2" customHeight="1" x14ac:dyDescent="0.2">
      <c r="A452" s="30" t="s">
        <v>1365</v>
      </c>
      <c r="B452" s="33" t="s">
        <v>1366</v>
      </c>
      <c r="C452" s="26">
        <v>1990</v>
      </c>
      <c r="D452" s="38" t="s">
        <v>1367</v>
      </c>
      <c r="E452" s="29" t="str">
        <f>HYPERLINK("https://www.lyellcollection.org/toc/sp/50/1")</f>
        <v>https://www.lyellcollection.org/toc/sp/50/1</v>
      </c>
      <c r="F452" s="19" t="s">
        <v>1209</v>
      </c>
      <c r="G452" s="31" t="s">
        <v>1515</v>
      </c>
      <c r="H452" s="31" t="s">
        <v>1516</v>
      </c>
      <c r="I452" s="31" t="s">
        <v>1517</v>
      </c>
    </row>
    <row r="453" spans="1:24" s="12" customFormat="1" ht="31.2" customHeight="1" x14ac:dyDescent="0.2">
      <c r="A453" s="37" t="s">
        <v>1335</v>
      </c>
      <c r="B453" s="33" t="s">
        <v>1336</v>
      </c>
      <c r="C453" s="26">
        <v>1992</v>
      </c>
      <c r="D453" s="38" t="s">
        <v>1337</v>
      </c>
      <c r="E453" s="29" t="str">
        <f>HYPERLINK("https://www.lyellcollection.org/toc/sp/49/1")</f>
        <v>https://www.lyellcollection.org/toc/sp/49/1</v>
      </c>
      <c r="F453" s="19" t="s">
        <v>1209</v>
      </c>
      <c r="G453" s="31" t="s">
        <v>1515</v>
      </c>
      <c r="H453" s="31" t="s">
        <v>1516</v>
      </c>
      <c r="I453" s="31" t="s">
        <v>1517</v>
      </c>
    </row>
    <row r="454" spans="1:24" s="12" customFormat="1" ht="31.2" customHeight="1" x14ac:dyDescent="0.2">
      <c r="A454" s="30" t="s">
        <v>1368</v>
      </c>
      <c r="B454" s="33" t="s">
        <v>1369</v>
      </c>
      <c r="C454" s="26">
        <v>1990</v>
      </c>
      <c r="D454" s="38" t="s">
        <v>1370</v>
      </c>
      <c r="E454" s="29" t="str">
        <f>HYPERLINK("https://www.lyellcollection.org/toc/sp/48/1")</f>
        <v>https://www.lyellcollection.org/toc/sp/48/1</v>
      </c>
      <c r="F454" s="19" t="s">
        <v>1209</v>
      </c>
      <c r="G454" s="31" t="s">
        <v>1515</v>
      </c>
      <c r="H454" s="31" t="s">
        <v>1516</v>
      </c>
      <c r="I454" s="31" t="s">
        <v>1517</v>
      </c>
    </row>
    <row r="455" spans="1:24" s="12" customFormat="1" ht="31.2" customHeight="1" x14ac:dyDescent="0.2">
      <c r="A455" s="37" t="s">
        <v>1371</v>
      </c>
      <c r="B455" s="33" t="s">
        <v>1372</v>
      </c>
      <c r="C455" s="26">
        <v>1989</v>
      </c>
      <c r="D455" s="17" t="s">
        <v>1373</v>
      </c>
      <c r="E455" s="29" t="str">
        <f>HYPERLINK("https://www.lyellcollection.org/toc/sp/47/1")</f>
        <v>https://www.lyellcollection.org/toc/sp/47/1</v>
      </c>
      <c r="F455" s="19" t="s">
        <v>1209</v>
      </c>
      <c r="G455" s="31" t="s">
        <v>1515</v>
      </c>
      <c r="H455" s="31" t="s">
        <v>1516</v>
      </c>
      <c r="I455" s="31" t="s">
        <v>1517</v>
      </c>
    </row>
    <row r="456" spans="1:24" s="12" customFormat="1" ht="31.2" customHeight="1" x14ac:dyDescent="0.2">
      <c r="A456" s="30" t="s">
        <v>1374</v>
      </c>
      <c r="B456" s="33" t="s">
        <v>1375</v>
      </c>
      <c r="C456" s="26">
        <v>1989</v>
      </c>
      <c r="D456" s="17" t="s">
        <v>1376</v>
      </c>
      <c r="E456" s="29" t="str">
        <f>HYPERLINK("https://www.lyellcollection.org/toc/sp/46/1")</f>
        <v>https://www.lyellcollection.org/toc/sp/46/1</v>
      </c>
      <c r="F456" s="19" t="s">
        <v>1209</v>
      </c>
      <c r="G456" s="31" t="s">
        <v>1515</v>
      </c>
      <c r="H456" s="31" t="s">
        <v>1516</v>
      </c>
      <c r="I456" s="31" t="s">
        <v>1517</v>
      </c>
    </row>
    <row r="457" spans="1:24" s="12" customFormat="1" ht="31.2" customHeight="1" x14ac:dyDescent="0.2">
      <c r="A457" s="37" t="s">
        <v>1377</v>
      </c>
      <c r="B457" s="33" t="s">
        <v>1378</v>
      </c>
      <c r="C457" s="26">
        <v>1989</v>
      </c>
      <c r="D457" s="17" t="s">
        <v>1379</v>
      </c>
      <c r="E457" s="29" t="str">
        <f>HYPERLINK("https://www.lyellcollection.org/toc/sp/45/1")</f>
        <v>https://www.lyellcollection.org/toc/sp/45/1</v>
      </c>
      <c r="F457" s="19" t="s">
        <v>1209</v>
      </c>
      <c r="G457" s="31" t="s">
        <v>1515</v>
      </c>
      <c r="H457" s="31" t="s">
        <v>1516</v>
      </c>
      <c r="I457" s="31" t="s">
        <v>1517</v>
      </c>
    </row>
    <row r="458" spans="1:24" s="12" customFormat="1" ht="31.2" customHeight="1" x14ac:dyDescent="0.2">
      <c r="A458" s="30" t="s">
        <v>1380</v>
      </c>
      <c r="B458" s="33" t="s">
        <v>1381</v>
      </c>
      <c r="C458" s="26">
        <v>1989</v>
      </c>
      <c r="D458" s="17" t="s">
        <v>1382</v>
      </c>
      <c r="E458" s="29" t="str">
        <f>HYPERLINK("https://www.lyellcollection.org/toc/sp/44/1")</f>
        <v>https://www.lyellcollection.org/toc/sp/44/1</v>
      </c>
      <c r="F458" s="19" t="s">
        <v>1209</v>
      </c>
      <c r="G458" s="31" t="s">
        <v>1515</v>
      </c>
      <c r="H458" s="31" t="s">
        <v>1516</v>
      </c>
      <c r="I458" s="31" t="s">
        <v>1517</v>
      </c>
    </row>
    <row r="459" spans="1:24" s="12" customFormat="1" ht="31.2" customHeight="1" x14ac:dyDescent="0.2">
      <c r="A459" s="37" t="s">
        <v>1383</v>
      </c>
      <c r="B459" s="33" t="s">
        <v>1384</v>
      </c>
      <c r="C459" s="26">
        <v>1989</v>
      </c>
      <c r="D459" s="17" t="s">
        <v>1385</v>
      </c>
      <c r="E459" s="29" t="str">
        <f>HYPERLINK("https://www.lyellcollection.org/toc/sp/43/1")</f>
        <v>https://www.lyellcollection.org/toc/sp/43/1</v>
      </c>
      <c r="F459" s="19" t="s">
        <v>1209</v>
      </c>
      <c r="G459" s="31" t="s">
        <v>1515</v>
      </c>
      <c r="H459" s="31" t="s">
        <v>1516</v>
      </c>
      <c r="I459" s="31" t="s">
        <v>1517</v>
      </c>
    </row>
    <row r="460" spans="1:24" s="34" customFormat="1" ht="31.2" customHeight="1" x14ac:dyDescent="0.2">
      <c r="A460" s="30" t="s">
        <v>1386</v>
      </c>
      <c r="B460" s="33" t="s">
        <v>1387</v>
      </c>
      <c r="C460" s="26">
        <v>1989</v>
      </c>
      <c r="D460" s="17" t="s">
        <v>1388</v>
      </c>
      <c r="E460" s="29" t="str">
        <f>HYPERLINK("https://www.lyellcollection.org/toc/sp/42/1")</f>
        <v>https://www.lyellcollection.org/toc/sp/42/1</v>
      </c>
      <c r="F460" s="19" t="s">
        <v>1209</v>
      </c>
      <c r="G460" s="31" t="s">
        <v>1515</v>
      </c>
      <c r="H460" s="31" t="s">
        <v>1516</v>
      </c>
      <c r="I460" s="31" t="s">
        <v>1517</v>
      </c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</row>
    <row r="461" spans="1:24" s="12" customFormat="1" ht="31.2" customHeight="1" x14ac:dyDescent="0.2">
      <c r="A461" s="37" t="s">
        <v>1389</v>
      </c>
      <c r="B461" s="33" t="s">
        <v>1390</v>
      </c>
      <c r="C461" s="26">
        <v>1989</v>
      </c>
      <c r="D461" s="17" t="s">
        <v>1391</v>
      </c>
      <c r="E461" s="29" t="str">
        <f>HYPERLINK("https://www.lyellcollection.org/toc/sp/41/1")</f>
        <v>https://www.lyellcollection.org/toc/sp/41/1</v>
      </c>
      <c r="F461" s="19" t="s">
        <v>1209</v>
      </c>
      <c r="G461" s="31" t="s">
        <v>1515</v>
      </c>
      <c r="H461" s="31" t="s">
        <v>1516</v>
      </c>
      <c r="I461" s="31" t="s">
        <v>1517</v>
      </c>
    </row>
    <row r="462" spans="1:24" s="12" customFormat="1" ht="31.2" customHeight="1" x14ac:dyDescent="0.2">
      <c r="A462" s="30" t="s">
        <v>1392</v>
      </c>
      <c r="B462" s="33" t="s">
        <v>1393</v>
      </c>
      <c r="C462" s="26">
        <v>1988</v>
      </c>
      <c r="D462" s="17" t="s">
        <v>1394</v>
      </c>
      <c r="E462" s="29" t="str">
        <f>HYPERLINK("https://www.lyellcollection.org/toc/sp/40/1")</f>
        <v>https://www.lyellcollection.org/toc/sp/40/1</v>
      </c>
      <c r="F462" s="19" t="s">
        <v>1209</v>
      </c>
      <c r="G462" s="31" t="s">
        <v>1515</v>
      </c>
      <c r="H462" s="31" t="s">
        <v>1516</v>
      </c>
      <c r="I462" s="31" t="s">
        <v>1517</v>
      </c>
    </row>
    <row r="463" spans="1:24" s="12" customFormat="1" ht="31.2" customHeight="1" x14ac:dyDescent="0.2">
      <c r="A463" s="37" t="s">
        <v>1395</v>
      </c>
      <c r="B463" s="33" t="s">
        <v>1396</v>
      </c>
      <c r="C463" s="26">
        <v>1988</v>
      </c>
      <c r="D463" s="17" t="s">
        <v>1397</v>
      </c>
      <c r="E463" s="29" t="str">
        <f>HYPERLINK("https://www.lyellcollection.org/toc/sp/39/1")</f>
        <v>https://www.lyellcollection.org/toc/sp/39/1</v>
      </c>
      <c r="F463" s="19" t="s">
        <v>1209</v>
      </c>
      <c r="G463" s="31" t="s">
        <v>1515</v>
      </c>
      <c r="H463" s="31" t="s">
        <v>1516</v>
      </c>
      <c r="I463" s="31" t="s">
        <v>1517</v>
      </c>
    </row>
    <row r="464" spans="1:24" s="12" customFormat="1" ht="31.2" customHeight="1" x14ac:dyDescent="0.2">
      <c r="A464" s="30" t="s">
        <v>1398</v>
      </c>
      <c r="B464" s="33" t="s">
        <v>1399</v>
      </c>
      <c r="C464" s="26">
        <v>1988</v>
      </c>
      <c r="D464" s="17" t="s">
        <v>1400</v>
      </c>
      <c r="E464" s="29" t="str">
        <f>HYPERLINK("https://www.lyellcollection.org/toc/sp/38/1")</f>
        <v>https://www.lyellcollection.org/toc/sp/38/1</v>
      </c>
      <c r="F464" s="19" t="s">
        <v>1209</v>
      </c>
      <c r="G464" s="31" t="s">
        <v>1515</v>
      </c>
      <c r="H464" s="31" t="s">
        <v>1516</v>
      </c>
      <c r="I464" s="31" t="s">
        <v>1517</v>
      </c>
    </row>
    <row r="465" spans="1:9" s="12" customFormat="1" ht="31.2" customHeight="1" x14ac:dyDescent="0.2">
      <c r="A465" s="37" t="s">
        <v>1401</v>
      </c>
      <c r="B465" s="33" t="s">
        <v>1402</v>
      </c>
      <c r="C465" s="26">
        <v>1988</v>
      </c>
      <c r="D465" s="17" t="s">
        <v>1403</v>
      </c>
      <c r="E465" s="29" t="str">
        <f>HYPERLINK("https://www.lyellcollection.org/toc/sp/37/1")</f>
        <v>https://www.lyellcollection.org/toc/sp/37/1</v>
      </c>
      <c r="F465" s="19" t="s">
        <v>1209</v>
      </c>
      <c r="G465" s="31" t="s">
        <v>1515</v>
      </c>
      <c r="H465" s="31" t="s">
        <v>1516</v>
      </c>
      <c r="I465" s="31" t="s">
        <v>1517</v>
      </c>
    </row>
    <row r="466" spans="1:9" s="12" customFormat="1" ht="31.2" customHeight="1" x14ac:dyDescent="0.2">
      <c r="A466" s="30" t="s">
        <v>1404</v>
      </c>
      <c r="B466" s="33" t="s">
        <v>1405</v>
      </c>
      <c r="C466" s="26">
        <v>1987</v>
      </c>
      <c r="D466" s="17" t="s">
        <v>1406</v>
      </c>
      <c r="E466" s="29" t="str">
        <f>HYPERLINK("https://www.lyellcollection.org/toc/sp/36/1")</f>
        <v>https://www.lyellcollection.org/toc/sp/36/1</v>
      </c>
      <c r="F466" s="19" t="s">
        <v>1209</v>
      </c>
      <c r="G466" s="31" t="s">
        <v>1515</v>
      </c>
      <c r="H466" s="31" t="s">
        <v>1516</v>
      </c>
      <c r="I466" s="31" t="s">
        <v>1517</v>
      </c>
    </row>
    <row r="467" spans="1:9" s="12" customFormat="1" ht="31.2" customHeight="1" x14ac:dyDescent="0.2">
      <c r="A467" s="37" t="s">
        <v>1407</v>
      </c>
      <c r="B467" s="33" t="s">
        <v>1408</v>
      </c>
      <c r="C467" s="26">
        <v>1987</v>
      </c>
      <c r="D467" s="17" t="s">
        <v>1409</v>
      </c>
      <c r="E467" s="29" t="str">
        <f>HYPERLINK("https://www.lyellcollection.org/toc/sp/35/1")</f>
        <v>https://www.lyellcollection.org/toc/sp/35/1</v>
      </c>
      <c r="F467" s="19" t="s">
        <v>1209</v>
      </c>
      <c r="G467" s="31" t="s">
        <v>1515</v>
      </c>
      <c r="H467" s="31" t="s">
        <v>1516</v>
      </c>
      <c r="I467" s="31" t="s">
        <v>1517</v>
      </c>
    </row>
    <row r="468" spans="1:9" s="12" customFormat="1" ht="31.2" customHeight="1" x14ac:dyDescent="0.2">
      <c r="A468" s="30" t="s">
        <v>1410</v>
      </c>
      <c r="B468" s="33" t="s">
        <v>1411</v>
      </c>
      <c r="C468" s="26">
        <v>1987</v>
      </c>
      <c r="D468" s="17" t="s">
        <v>1412</v>
      </c>
      <c r="E468" s="29" t="str">
        <f>HYPERLINK("https://www.lyellcollection.org/toc/sp/34/1")</f>
        <v>https://www.lyellcollection.org/toc/sp/34/1</v>
      </c>
      <c r="F468" s="19" t="s">
        <v>1209</v>
      </c>
      <c r="G468" s="31" t="s">
        <v>1515</v>
      </c>
      <c r="H468" s="31" t="s">
        <v>1516</v>
      </c>
      <c r="I468" s="31" t="s">
        <v>1517</v>
      </c>
    </row>
    <row r="469" spans="1:9" s="12" customFormat="1" ht="31.2" customHeight="1" x14ac:dyDescent="0.2">
      <c r="A469" s="37" t="s">
        <v>1413</v>
      </c>
      <c r="B469" s="33" t="s">
        <v>1414</v>
      </c>
      <c r="C469" s="26">
        <v>1987</v>
      </c>
      <c r="D469" s="17" t="s">
        <v>1415</v>
      </c>
      <c r="E469" s="29" t="str">
        <f>HYPERLINK("https://www.lyellcollection.org/toc/sp/33/1")</f>
        <v>https://www.lyellcollection.org/toc/sp/33/1</v>
      </c>
      <c r="F469" s="19" t="s">
        <v>1209</v>
      </c>
      <c r="G469" s="31" t="s">
        <v>1515</v>
      </c>
      <c r="H469" s="31" t="s">
        <v>1516</v>
      </c>
      <c r="I469" s="31" t="s">
        <v>1517</v>
      </c>
    </row>
    <row r="470" spans="1:9" s="12" customFormat="1" ht="31.2" customHeight="1" x14ac:dyDescent="0.2">
      <c r="A470" s="30" t="s">
        <v>1416</v>
      </c>
      <c r="B470" s="33" t="s">
        <v>1417</v>
      </c>
      <c r="C470" s="26">
        <v>1987</v>
      </c>
      <c r="D470" s="17" t="s">
        <v>1418</v>
      </c>
      <c r="E470" s="29" t="str">
        <f>HYPERLINK("https://www.lyellcollection.org/toc/sp/32/1")</f>
        <v>https://www.lyellcollection.org/toc/sp/32/1</v>
      </c>
      <c r="F470" s="19" t="s">
        <v>1209</v>
      </c>
      <c r="G470" s="31" t="s">
        <v>1515</v>
      </c>
      <c r="H470" s="31" t="s">
        <v>1516</v>
      </c>
      <c r="I470" s="31" t="s">
        <v>1517</v>
      </c>
    </row>
    <row r="471" spans="1:9" s="12" customFormat="1" ht="31.2" customHeight="1" x14ac:dyDescent="0.2">
      <c r="A471" s="37" t="s">
        <v>1419</v>
      </c>
      <c r="B471" s="33" t="s">
        <v>1420</v>
      </c>
      <c r="C471" s="26">
        <v>1987</v>
      </c>
      <c r="D471" s="17" t="s">
        <v>1421</v>
      </c>
      <c r="E471" s="29" t="str">
        <f>HYPERLINK("https://www.lyellcollection.org/toc/sp/31/1")</f>
        <v>https://www.lyellcollection.org/toc/sp/31/1</v>
      </c>
      <c r="F471" s="19" t="s">
        <v>1209</v>
      </c>
      <c r="G471" s="31" t="s">
        <v>1515</v>
      </c>
      <c r="H471" s="31" t="s">
        <v>1516</v>
      </c>
      <c r="I471" s="31" t="s">
        <v>1517</v>
      </c>
    </row>
    <row r="472" spans="1:9" s="12" customFormat="1" ht="31.2" customHeight="1" x14ac:dyDescent="0.2">
      <c r="A472" s="30" t="s">
        <v>1422</v>
      </c>
      <c r="B472" s="33" t="s">
        <v>1423</v>
      </c>
      <c r="C472" s="26">
        <v>1987</v>
      </c>
      <c r="D472" s="17" t="s">
        <v>1424</v>
      </c>
      <c r="E472" s="29" t="str">
        <f>HYPERLINK("https://www.lyellcollection.org/toc/sp/30/1")</f>
        <v>https://www.lyellcollection.org/toc/sp/30/1</v>
      </c>
      <c r="F472" s="19" t="s">
        <v>1209</v>
      </c>
      <c r="G472" s="31" t="s">
        <v>1515</v>
      </c>
      <c r="H472" s="31" t="s">
        <v>1516</v>
      </c>
      <c r="I472" s="31" t="s">
        <v>1517</v>
      </c>
    </row>
    <row r="473" spans="1:9" s="12" customFormat="1" ht="31.2" customHeight="1" x14ac:dyDescent="0.2">
      <c r="A473" s="37" t="s">
        <v>1425</v>
      </c>
      <c r="B473" s="33" t="s">
        <v>1426</v>
      </c>
      <c r="C473" s="26">
        <v>1987</v>
      </c>
      <c r="D473" s="17" t="s">
        <v>1427</v>
      </c>
      <c r="E473" s="29" t="str">
        <f>HYPERLINK("https://www.lyellcollection.org/toc/sp/29/1")</f>
        <v>https://www.lyellcollection.org/toc/sp/29/1</v>
      </c>
      <c r="F473" s="19" t="s">
        <v>1209</v>
      </c>
      <c r="G473" s="31" t="s">
        <v>1515</v>
      </c>
      <c r="H473" s="31" t="s">
        <v>1516</v>
      </c>
      <c r="I473" s="31" t="s">
        <v>1517</v>
      </c>
    </row>
    <row r="474" spans="1:9" s="12" customFormat="1" ht="31.2" customHeight="1" x14ac:dyDescent="0.2">
      <c r="A474" s="30" t="s">
        <v>1428</v>
      </c>
      <c r="B474" s="33" t="s">
        <v>1429</v>
      </c>
      <c r="C474" s="26">
        <v>1987</v>
      </c>
      <c r="D474" s="17" t="s">
        <v>1430</v>
      </c>
      <c r="E474" s="29" t="str">
        <f>HYPERLINK("https://www.lyellcollection.org/toc/sp/28/1")</f>
        <v>https://www.lyellcollection.org/toc/sp/28/1</v>
      </c>
      <c r="F474" s="19" t="s">
        <v>1209</v>
      </c>
      <c r="G474" s="31" t="s">
        <v>1515</v>
      </c>
      <c r="H474" s="31" t="s">
        <v>1516</v>
      </c>
      <c r="I474" s="31" t="s">
        <v>1517</v>
      </c>
    </row>
    <row r="475" spans="1:9" s="12" customFormat="1" ht="31.2" customHeight="1" x14ac:dyDescent="0.2">
      <c r="A475" s="37" t="s">
        <v>1431</v>
      </c>
      <c r="B475" s="33" t="s">
        <v>1432</v>
      </c>
      <c r="C475" s="26">
        <v>1987</v>
      </c>
      <c r="D475" s="17" t="s">
        <v>1433</v>
      </c>
      <c r="E475" s="29" t="str">
        <f>HYPERLINK("https://www.lyellcollection.org/toc/sp/27/1")</f>
        <v>https://www.lyellcollection.org/toc/sp/27/1</v>
      </c>
      <c r="F475" s="19" t="s">
        <v>1209</v>
      </c>
      <c r="G475" s="31" t="s">
        <v>1515</v>
      </c>
      <c r="H475" s="31" t="s">
        <v>1516</v>
      </c>
      <c r="I475" s="31" t="s">
        <v>1517</v>
      </c>
    </row>
    <row r="476" spans="1:9" s="12" customFormat="1" ht="31.2" customHeight="1" x14ac:dyDescent="0.2">
      <c r="A476" s="30" t="s">
        <v>1434</v>
      </c>
      <c r="B476" s="33" t="s">
        <v>1435</v>
      </c>
      <c r="C476" s="26">
        <v>1987</v>
      </c>
      <c r="D476" s="17" t="s">
        <v>1436</v>
      </c>
      <c r="E476" s="29" t="str">
        <f>HYPERLINK("https://www.lyellcollection.org/toc/sp/26/1")</f>
        <v>https://www.lyellcollection.org/toc/sp/26/1</v>
      </c>
      <c r="F476" s="19" t="s">
        <v>1209</v>
      </c>
      <c r="G476" s="31" t="s">
        <v>1515</v>
      </c>
      <c r="H476" s="31" t="s">
        <v>1516</v>
      </c>
      <c r="I476" s="31" t="s">
        <v>1517</v>
      </c>
    </row>
    <row r="477" spans="1:9" s="12" customFormat="1" ht="31.2" customHeight="1" x14ac:dyDescent="0.2">
      <c r="A477" s="37" t="s">
        <v>1437</v>
      </c>
      <c r="B477" s="33" t="s">
        <v>1438</v>
      </c>
      <c r="C477" s="26">
        <v>1986</v>
      </c>
      <c r="D477" s="17" t="s">
        <v>1439</v>
      </c>
      <c r="E477" s="29" t="str">
        <f>HYPERLINK("https://www.lyellcollection.org/toc/sp/25/1")</f>
        <v>https://www.lyellcollection.org/toc/sp/25/1</v>
      </c>
      <c r="F477" s="19" t="s">
        <v>1209</v>
      </c>
      <c r="G477" s="31" t="s">
        <v>1515</v>
      </c>
      <c r="H477" s="31" t="s">
        <v>1516</v>
      </c>
      <c r="I477" s="31" t="s">
        <v>1517</v>
      </c>
    </row>
    <row r="478" spans="1:9" s="12" customFormat="1" ht="31.2" customHeight="1" x14ac:dyDescent="0.2">
      <c r="A478" s="30" t="s">
        <v>1440</v>
      </c>
      <c r="B478" s="33" t="s">
        <v>1441</v>
      </c>
      <c r="C478" s="26">
        <v>1986</v>
      </c>
      <c r="D478" s="17" t="s">
        <v>1442</v>
      </c>
      <c r="E478" s="29" t="str">
        <f>HYPERLINK("https://www.lyellcollection.org/toc/sp/24/1")</f>
        <v>https://www.lyellcollection.org/toc/sp/24/1</v>
      </c>
      <c r="F478" s="19" t="s">
        <v>1209</v>
      </c>
      <c r="G478" s="31" t="s">
        <v>1515</v>
      </c>
      <c r="H478" s="31" t="s">
        <v>1516</v>
      </c>
      <c r="I478" s="31" t="s">
        <v>1517</v>
      </c>
    </row>
    <row r="479" spans="1:9" s="12" customFormat="1" ht="31.2" customHeight="1" x14ac:dyDescent="0.2">
      <c r="A479" s="37" t="s">
        <v>1443</v>
      </c>
      <c r="B479" s="33" t="s">
        <v>1444</v>
      </c>
      <c r="C479" s="26">
        <v>1986</v>
      </c>
      <c r="D479" s="17" t="s">
        <v>1445</v>
      </c>
      <c r="E479" s="29" t="str">
        <f>HYPERLINK("https://www.lyellcollection.org/toc/sp/23/1")</f>
        <v>https://www.lyellcollection.org/toc/sp/23/1</v>
      </c>
      <c r="F479" s="19" t="s">
        <v>1209</v>
      </c>
      <c r="G479" s="31" t="s">
        <v>1515</v>
      </c>
      <c r="H479" s="31" t="s">
        <v>1516</v>
      </c>
      <c r="I479" s="31" t="s">
        <v>1517</v>
      </c>
    </row>
    <row r="480" spans="1:9" s="12" customFormat="1" ht="31.2" customHeight="1" x14ac:dyDescent="0.2">
      <c r="A480" s="30" t="s">
        <v>1446</v>
      </c>
      <c r="B480" s="33" t="s">
        <v>1447</v>
      </c>
      <c r="C480" s="26">
        <v>1986</v>
      </c>
      <c r="D480" s="17" t="s">
        <v>1448</v>
      </c>
      <c r="E480" s="29" t="str">
        <f>HYPERLINK("https://www.lyellcollection.org/toc/sp/22/1")</f>
        <v>https://www.lyellcollection.org/toc/sp/22/1</v>
      </c>
      <c r="F480" s="19" t="s">
        <v>1209</v>
      </c>
      <c r="G480" s="31" t="s">
        <v>1515</v>
      </c>
      <c r="H480" s="31" t="s">
        <v>1516</v>
      </c>
      <c r="I480" s="31" t="s">
        <v>1517</v>
      </c>
    </row>
    <row r="481" spans="1:9" s="12" customFormat="1" ht="31.2" customHeight="1" x14ac:dyDescent="0.2">
      <c r="A481" s="37" t="s">
        <v>1449</v>
      </c>
      <c r="B481" s="33" t="s">
        <v>1450</v>
      </c>
      <c r="C481" s="26">
        <v>1986</v>
      </c>
      <c r="D481" s="17" t="s">
        <v>1451</v>
      </c>
      <c r="E481" s="29" t="str">
        <f>HYPERLINK("https://www.lyellcollection.org/toc/sp/21/1")</f>
        <v>https://www.lyellcollection.org/toc/sp/21/1</v>
      </c>
      <c r="F481" s="19" t="s">
        <v>1209</v>
      </c>
      <c r="G481" s="31" t="s">
        <v>1515</v>
      </c>
      <c r="H481" s="31" t="s">
        <v>1516</v>
      </c>
      <c r="I481" s="31" t="s">
        <v>1517</v>
      </c>
    </row>
    <row r="482" spans="1:9" s="12" customFormat="1" ht="31.2" customHeight="1" x14ac:dyDescent="0.2">
      <c r="A482" s="30" t="s">
        <v>1452</v>
      </c>
      <c r="B482" s="33" t="s">
        <v>1453</v>
      </c>
      <c r="C482" s="26">
        <v>1986</v>
      </c>
      <c r="D482" s="17" t="s">
        <v>1454</v>
      </c>
      <c r="E482" s="29" t="str">
        <f>HYPERLINK("https://www.lyellcollection.org/toc/sp/20/1")</f>
        <v>https://www.lyellcollection.org/toc/sp/20/1</v>
      </c>
      <c r="F482" s="19" t="s">
        <v>1209</v>
      </c>
      <c r="G482" s="31" t="s">
        <v>1515</v>
      </c>
      <c r="H482" s="31" t="s">
        <v>1516</v>
      </c>
      <c r="I482" s="31" t="s">
        <v>1517</v>
      </c>
    </row>
    <row r="483" spans="1:9" s="12" customFormat="1" ht="31.2" customHeight="1" x14ac:dyDescent="0.2">
      <c r="A483" s="37" t="s">
        <v>1455</v>
      </c>
      <c r="B483" s="33" t="s">
        <v>1456</v>
      </c>
      <c r="C483" s="26">
        <v>1986</v>
      </c>
      <c r="D483" s="17" t="s">
        <v>1457</v>
      </c>
      <c r="E483" s="29" t="str">
        <f>HYPERLINK("https://www.lyellcollection.org/toc/sp/19/1")</f>
        <v>https://www.lyellcollection.org/toc/sp/19/1</v>
      </c>
      <c r="F483" s="19" t="s">
        <v>1209</v>
      </c>
      <c r="G483" s="31" t="s">
        <v>1515</v>
      </c>
      <c r="H483" s="31" t="s">
        <v>1516</v>
      </c>
      <c r="I483" s="31" t="s">
        <v>1517</v>
      </c>
    </row>
    <row r="484" spans="1:9" s="12" customFormat="1" ht="31.2" customHeight="1" x14ac:dyDescent="0.2">
      <c r="A484" s="30" t="s">
        <v>1458</v>
      </c>
      <c r="B484" s="33" t="s">
        <v>1459</v>
      </c>
      <c r="C484" s="26">
        <v>1985</v>
      </c>
      <c r="D484" s="17" t="s">
        <v>1460</v>
      </c>
      <c r="E484" s="29" t="str">
        <f>HYPERLINK("https://www.lyellcollection.org/toc/sp/18/1")</f>
        <v>https://www.lyellcollection.org/toc/sp/18/1</v>
      </c>
      <c r="F484" s="19" t="s">
        <v>1209</v>
      </c>
      <c r="G484" s="31" t="s">
        <v>1515</v>
      </c>
      <c r="H484" s="31" t="s">
        <v>1516</v>
      </c>
      <c r="I484" s="31" t="s">
        <v>1517</v>
      </c>
    </row>
    <row r="485" spans="1:9" s="12" customFormat="1" ht="31.2" customHeight="1" x14ac:dyDescent="0.2">
      <c r="A485" s="37" t="s">
        <v>1213</v>
      </c>
      <c r="B485" s="33" t="s">
        <v>1214</v>
      </c>
      <c r="C485" s="26">
        <v>1996</v>
      </c>
      <c r="D485" s="17" t="s">
        <v>1215</v>
      </c>
      <c r="E485" s="29" t="str">
        <f>HYPERLINK("https://www.lyellcollection.org/toc/sp/17/1")</f>
        <v>https://www.lyellcollection.org/toc/sp/17/1</v>
      </c>
      <c r="F485" s="19" t="s">
        <v>1209</v>
      </c>
      <c r="G485" s="31" t="s">
        <v>1515</v>
      </c>
      <c r="H485" s="31" t="s">
        <v>1516</v>
      </c>
      <c r="I485" s="31" t="s">
        <v>1517</v>
      </c>
    </row>
    <row r="486" spans="1:9" s="12" customFormat="1" ht="31.2" customHeight="1" x14ac:dyDescent="0.2">
      <c r="A486" s="30" t="s">
        <v>1461</v>
      </c>
      <c r="B486" s="27" t="s">
        <v>1462</v>
      </c>
      <c r="C486" s="26">
        <v>1984</v>
      </c>
      <c r="D486" s="17" t="s">
        <v>1463</v>
      </c>
      <c r="E486" s="29" t="str">
        <f>HYPERLINK("https://www.lyellcollection.org/toc/sp/16/1")</f>
        <v>https://www.lyellcollection.org/toc/sp/16/1</v>
      </c>
      <c r="F486" s="19" t="s">
        <v>1209</v>
      </c>
      <c r="G486" s="31" t="s">
        <v>1515</v>
      </c>
      <c r="H486" s="31" t="s">
        <v>1516</v>
      </c>
      <c r="I486" s="31" t="s">
        <v>1517</v>
      </c>
    </row>
    <row r="487" spans="1:9" s="12" customFormat="1" ht="31.2" customHeight="1" x14ac:dyDescent="0.2">
      <c r="A487" s="30" t="s">
        <v>1464</v>
      </c>
      <c r="B487" s="27" t="s">
        <v>1465</v>
      </c>
      <c r="C487" s="26">
        <v>1984</v>
      </c>
      <c r="D487" s="17" t="s">
        <v>1466</v>
      </c>
      <c r="E487" s="29" t="str">
        <f>HYPERLINK("https://www.lyellcollection.org/toc/sp/15/1")</f>
        <v>https://www.lyellcollection.org/toc/sp/15/1</v>
      </c>
      <c r="F487" s="19" t="s">
        <v>1209</v>
      </c>
      <c r="G487" s="31" t="s">
        <v>1515</v>
      </c>
      <c r="H487" s="31" t="s">
        <v>1516</v>
      </c>
      <c r="I487" s="31" t="s">
        <v>1517</v>
      </c>
    </row>
    <row r="488" spans="1:9" s="12" customFormat="1" ht="31.2" customHeight="1" x14ac:dyDescent="0.2">
      <c r="A488" s="30" t="s">
        <v>1467</v>
      </c>
      <c r="B488" s="27" t="s">
        <v>1468</v>
      </c>
      <c r="C488" s="26">
        <v>1984</v>
      </c>
      <c r="D488" s="17" t="s">
        <v>1469</v>
      </c>
      <c r="E488" s="29" t="str">
        <f>HYPERLINK("https://www.lyellcollection.org/toc/sp/14/1")</f>
        <v>https://www.lyellcollection.org/toc/sp/14/1</v>
      </c>
      <c r="F488" s="19" t="s">
        <v>1209</v>
      </c>
      <c r="G488" s="31" t="s">
        <v>1515</v>
      </c>
      <c r="H488" s="31" t="s">
        <v>1516</v>
      </c>
      <c r="I488" s="31" t="s">
        <v>1517</v>
      </c>
    </row>
    <row r="489" spans="1:9" s="12" customFormat="1" ht="31.2" customHeight="1" x14ac:dyDescent="0.2">
      <c r="A489" s="30" t="s">
        <v>1470</v>
      </c>
      <c r="B489" s="27" t="s">
        <v>1471</v>
      </c>
      <c r="C489" s="26">
        <v>1984</v>
      </c>
      <c r="D489" s="17" t="s">
        <v>1472</v>
      </c>
      <c r="E489" s="29" t="str">
        <f>HYPERLINK("https://www.lyellcollection.org/toc/sp/13/1")</f>
        <v>https://www.lyellcollection.org/toc/sp/13/1</v>
      </c>
      <c r="F489" s="19" t="s">
        <v>1209</v>
      </c>
      <c r="G489" s="31" t="s">
        <v>1515</v>
      </c>
      <c r="H489" s="31" t="s">
        <v>1516</v>
      </c>
      <c r="I489" s="31" t="s">
        <v>1517</v>
      </c>
    </row>
    <row r="490" spans="1:9" s="12" customFormat="1" ht="31.2" customHeight="1" x14ac:dyDescent="0.2">
      <c r="A490" s="30" t="s">
        <v>1473</v>
      </c>
      <c r="B490" s="27" t="s">
        <v>1474</v>
      </c>
      <c r="C490" s="26">
        <v>1983</v>
      </c>
      <c r="D490" s="17" t="s">
        <v>1475</v>
      </c>
      <c r="E490" s="29" t="str">
        <f>HYPERLINK("https://www.lyellcollection.org/toc/sp/12/1")</f>
        <v>https://www.lyellcollection.org/toc/sp/12/1</v>
      </c>
      <c r="F490" s="19" t="s">
        <v>1209</v>
      </c>
      <c r="G490" s="31" t="s">
        <v>1515</v>
      </c>
      <c r="H490" s="31" t="s">
        <v>1516</v>
      </c>
      <c r="I490" s="31" t="s">
        <v>1517</v>
      </c>
    </row>
    <row r="491" spans="1:9" s="12" customFormat="1" ht="31.2" customHeight="1" x14ac:dyDescent="0.2">
      <c r="A491" s="30" t="s">
        <v>1476</v>
      </c>
      <c r="B491" s="27" t="s">
        <v>1477</v>
      </c>
      <c r="C491" s="26">
        <v>1983</v>
      </c>
      <c r="D491" s="17" t="s">
        <v>1478</v>
      </c>
      <c r="E491" s="29" t="str">
        <f>HYPERLINK("https://www.lyellcollection.org/toc/sp/11/1")</f>
        <v>https://www.lyellcollection.org/toc/sp/11/1</v>
      </c>
      <c r="F491" s="19" t="s">
        <v>1209</v>
      </c>
      <c r="G491" s="31" t="s">
        <v>1515</v>
      </c>
      <c r="H491" s="31" t="s">
        <v>1516</v>
      </c>
      <c r="I491" s="31" t="s">
        <v>1517</v>
      </c>
    </row>
    <row r="492" spans="1:9" s="12" customFormat="1" ht="31.2" customHeight="1" x14ac:dyDescent="0.2">
      <c r="A492" s="30" t="s">
        <v>1479</v>
      </c>
      <c r="B492" s="27" t="s">
        <v>1480</v>
      </c>
      <c r="C492" s="26">
        <v>1982</v>
      </c>
      <c r="D492" s="17" t="s">
        <v>1481</v>
      </c>
      <c r="E492" s="29" t="str">
        <f>HYPERLINK("https://www.lyellcollection.org/toc/sp/10/1")</f>
        <v>https://www.lyellcollection.org/toc/sp/10/1</v>
      </c>
      <c r="F492" s="19" t="s">
        <v>1209</v>
      </c>
      <c r="G492" s="31" t="s">
        <v>1515</v>
      </c>
      <c r="H492" s="31" t="s">
        <v>1516</v>
      </c>
      <c r="I492" s="31" t="s">
        <v>1517</v>
      </c>
    </row>
    <row r="493" spans="1:9" s="12" customFormat="1" ht="31.2" customHeight="1" x14ac:dyDescent="0.2">
      <c r="A493" s="30" t="s">
        <v>1482</v>
      </c>
      <c r="B493" s="27" t="s">
        <v>1483</v>
      </c>
      <c r="C493" s="26">
        <v>1981</v>
      </c>
      <c r="D493" s="17" t="s">
        <v>1484</v>
      </c>
      <c r="E493" s="29" t="str">
        <f>HYPERLINK("https://www.lyellcollection.org/toc/sp/9/1")</f>
        <v>https://www.lyellcollection.org/toc/sp/9/1</v>
      </c>
      <c r="F493" s="19" t="s">
        <v>1209</v>
      </c>
      <c r="G493" s="31" t="s">
        <v>1515</v>
      </c>
      <c r="H493" s="31" t="s">
        <v>1516</v>
      </c>
      <c r="I493" s="31" t="s">
        <v>1517</v>
      </c>
    </row>
    <row r="494" spans="1:9" s="12" customFormat="1" ht="31.2" customHeight="1" x14ac:dyDescent="0.2">
      <c r="A494" s="30" t="s">
        <v>1485</v>
      </c>
      <c r="B494" s="27" t="s">
        <v>1486</v>
      </c>
      <c r="C494" s="26">
        <v>1979</v>
      </c>
      <c r="D494" s="17" t="s">
        <v>1487</v>
      </c>
      <c r="E494" s="29" t="str">
        <f>HYPERLINK("https://www.lyellcollection.org/toc/sp/8/1")</f>
        <v>https://www.lyellcollection.org/toc/sp/8/1</v>
      </c>
      <c r="F494" s="19" t="s">
        <v>1209</v>
      </c>
      <c r="G494" s="31" t="s">
        <v>1515</v>
      </c>
      <c r="H494" s="31" t="s">
        <v>1516</v>
      </c>
      <c r="I494" s="31" t="s">
        <v>1517</v>
      </c>
    </row>
    <row r="495" spans="1:9" s="12" customFormat="1" ht="31.2" customHeight="1" x14ac:dyDescent="0.2">
      <c r="A495" s="30" t="s">
        <v>1491</v>
      </c>
      <c r="B495" s="27" t="s">
        <v>1492</v>
      </c>
      <c r="C495" s="26">
        <v>1977</v>
      </c>
      <c r="D495" s="17" t="s">
        <v>1493</v>
      </c>
      <c r="E495" s="29" t="str">
        <f>HYPERLINK("https://www.lyellcollection.org/toc/sp/7/1")</f>
        <v>https://www.lyellcollection.org/toc/sp/7/1</v>
      </c>
      <c r="F495" s="19" t="s">
        <v>1209</v>
      </c>
      <c r="G495" s="31" t="s">
        <v>1515</v>
      </c>
      <c r="H495" s="31" t="s">
        <v>1516</v>
      </c>
      <c r="I495" s="31" t="s">
        <v>1517</v>
      </c>
    </row>
    <row r="496" spans="1:9" s="12" customFormat="1" ht="31.2" customHeight="1" x14ac:dyDescent="0.2">
      <c r="A496" s="30" t="s">
        <v>1488</v>
      </c>
      <c r="B496" s="27" t="s">
        <v>1489</v>
      </c>
      <c r="C496" s="26">
        <v>1978</v>
      </c>
      <c r="D496" s="17" t="s">
        <v>1490</v>
      </c>
      <c r="E496" s="29" t="str">
        <f>HYPERLINK("https://www.lyellcollection.org/toc/sp/6/1")</f>
        <v>https://www.lyellcollection.org/toc/sp/6/1</v>
      </c>
      <c r="F496" s="19" t="s">
        <v>1209</v>
      </c>
      <c r="G496" s="31" t="s">
        <v>1515</v>
      </c>
      <c r="H496" s="31" t="s">
        <v>1516</v>
      </c>
      <c r="I496" s="31" t="s">
        <v>1517</v>
      </c>
    </row>
    <row r="497" spans="1:9" s="12" customFormat="1" ht="31.2" customHeight="1" x14ac:dyDescent="0.2">
      <c r="A497" s="30" t="s">
        <v>1497</v>
      </c>
      <c r="B497" s="27" t="s">
        <v>1498</v>
      </c>
      <c r="C497" s="26">
        <v>1971</v>
      </c>
      <c r="D497" s="17" t="s">
        <v>1499</v>
      </c>
      <c r="E497" s="29" t="str">
        <f>HYPERLINK("https://www.lyellcollection.org/toc/sp/5/1")</f>
        <v>https://www.lyellcollection.org/toc/sp/5/1</v>
      </c>
      <c r="F497" s="19" t="s">
        <v>1209</v>
      </c>
      <c r="G497" s="31" t="s">
        <v>1515</v>
      </c>
      <c r="H497" s="31" t="s">
        <v>1516</v>
      </c>
      <c r="I497" s="31" t="s">
        <v>1517</v>
      </c>
    </row>
    <row r="498" spans="1:9" s="12" customFormat="1" ht="31.2" customHeight="1" x14ac:dyDescent="0.2">
      <c r="A498" s="30" t="s">
        <v>1494</v>
      </c>
      <c r="B498" s="27" t="s">
        <v>1495</v>
      </c>
      <c r="C498" s="26">
        <v>1974</v>
      </c>
      <c r="D498" s="17" t="s">
        <v>1496</v>
      </c>
      <c r="E498" s="29" t="str">
        <f>HYPERLINK("https://www.lyellcollection.org/toc/sp/4/1")</f>
        <v>https://www.lyellcollection.org/toc/sp/4/1</v>
      </c>
      <c r="F498" s="19" t="s">
        <v>1209</v>
      </c>
      <c r="G498" s="31" t="s">
        <v>1515</v>
      </c>
      <c r="H498" s="31" t="s">
        <v>1516</v>
      </c>
      <c r="I498" s="31" t="s">
        <v>1517</v>
      </c>
    </row>
    <row r="499" spans="1:9" s="12" customFormat="1" ht="31.2" customHeight="1" x14ac:dyDescent="0.2">
      <c r="A499" s="30" t="s">
        <v>1500</v>
      </c>
      <c r="B499" s="27" t="s">
        <v>1501</v>
      </c>
      <c r="C499" s="26">
        <v>1969</v>
      </c>
      <c r="D499" s="17" t="s">
        <v>4</v>
      </c>
      <c r="E499" s="29" t="str">
        <f>HYPERLINK("https://www.lyellcollection.org/toc/sp/3/1")</f>
        <v>https://www.lyellcollection.org/toc/sp/3/1</v>
      </c>
      <c r="F499" s="19" t="s">
        <v>1209</v>
      </c>
      <c r="G499" s="31" t="s">
        <v>1515</v>
      </c>
      <c r="H499" s="31" t="s">
        <v>1516</v>
      </c>
      <c r="I499" s="31" t="s">
        <v>1517</v>
      </c>
    </row>
    <row r="500" spans="1:9" s="12" customFormat="1" ht="31.2" customHeight="1" x14ac:dyDescent="0.2">
      <c r="A500" s="30" t="s">
        <v>1502</v>
      </c>
      <c r="B500" s="27" t="s">
        <v>1503</v>
      </c>
      <c r="C500" s="26">
        <v>1967</v>
      </c>
      <c r="D500" s="17" t="s">
        <v>1504</v>
      </c>
      <c r="E500" s="29" t="str">
        <f>HYPERLINK("https://www.lyellcollection.org/toc/sp/2/1")</f>
        <v>https://www.lyellcollection.org/toc/sp/2/1</v>
      </c>
      <c r="F500" s="19" t="s">
        <v>1209</v>
      </c>
      <c r="G500" s="31" t="s">
        <v>1515</v>
      </c>
      <c r="H500" s="31" t="s">
        <v>1516</v>
      </c>
      <c r="I500" s="31" t="s">
        <v>1517</v>
      </c>
    </row>
    <row r="501" spans="1:9" s="12" customFormat="1" ht="31.2" customHeight="1" x14ac:dyDescent="0.2">
      <c r="A501" s="30" t="s">
        <v>1505</v>
      </c>
      <c r="B501" s="27" t="s">
        <v>1506</v>
      </c>
      <c r="C501" s="26">
        <v>1964</v>
      </c>
      <c r="D501" s="17" t="s">
        <v>1507</v>
      </c>
      <c r="E501" s="29" t="str">
        <f>HYPERLINK("https://www.lyellcollection.org/toc/sp/1/1")</f>
        <v>https://www.lyellcollection.org/toc/sp/1/1</v>
      </c>
      <c r="F501" s="19" t="s">
        <v>1209</v>
      </c>
      <c r="G501" s="31" t="s">
        <v>1515</v>
      </c>
      <c r="H501" s="31" t="s">
        <v>1516</v>
      </c>
      <c r="I501" s="31" t="s">
        <v>1517</v>
      </c>
    </row>
    <row r="502" spans="1:9" x14ac:dyDescent="0.2">
      <c r="A502" s="1"/>
      <c r="B502" s="13"/>
      <c r="C502" s="6"/>
      <c r="D502" s="6"/>
    </row>
    <row r="518" spans="2:9" s="4" customFormat="1" x14ac:dyDescent="0.25">
      <c r="B518" s="15"/>
      <c r="C518" s="5"/>
      <c r="D518" s="6"/>
      <c r="E518" s="2"/>
      <c r="F518" s="15"/>
      <c r="G518" s="5"/>
      <c r="H518" s="5"/>
      <c r="I518" s="5"/>
    </row>
    <row r="519" spans="2:9" s="4" customFormat="1" x14ac:dyDescent="0.25">
      <c r="B519" s="15"/>
      <c r="C519" s="5"/>
      <c r="D519" s="6"/>
      <c r="E519" s="2"/>
      <c r="F519" s="15"/>
      <c r="G519" s="5"/>
      <c r="H519" s="5"/>
      <c r="I519" s="5"/>
    </row>
    <row r="520" spans="2:9" s="4" customFormat="1" x14ac:dyDescent="0.25">
      <c r="B520" s="15"/>
      <c r="C520" s="5"/>
      <c r="D520" s="6"/>
      <c r="E520" s="2"/>
      <c r="F520" s="15"/>
      <c r="G520" s="5"/>
      <c r="H520" s="5"/>
      <c r="I520" s="5"/>
    </row>
    <row r="521" spans="2:9" s="4" customFormat="1" x14ac:dyDescent="0.25">
      <c r="B521" s="15"/>
      <c r="C521" s="5"/>
      <c r="D521" s="6"/>
      <c r="E521" s="2"/>
      <c r="F521" s="15"/>
      <c r="G521" s="5"/>
      <c r="H521" s="5"/>
      <c r="I521" s="5"/>
    </row>
    <row r="522" spans="2:9" s="4" customFormat="1" x14ac:dyDescent="0.25">
      <c r="B522" s="15"/>
      <c r="C522" s="5"/>
      <c r="D522" s="6"/>
      <c r="E522" s="2"/>
      <c r="F522" s="15"/>
      <c r="G522" s="5"/>
      <c r="H522" s="5"/>
      <c r="I522" s="5"/>
    </row>
    <row r="523" spans="2:9" s="4" customFormat="1" x14ac:dyDescent="0.25">
      <c r="B523" s="15"/>
      <c r="C523" s="5"/>
      <c r="D523" s="6"/>
      <c r="E523" s="2"/>
      <c r="F523" s="15"/>
      <c r="G523" s="5"/>
      <c r="H523" s="5"/>
      <c r="I523" s="5"/>
    </row>
    <row r="524" spans="2:9" s="4" customFormat="1" x14ac:dyDescent="0.25">
      <c r="B524" s="15"/>
      <c r="C524" s="5"/>
      <c r="D524" s="6"/>
      <c r="E524" s="2"/>
      <c r="F524" s="15"/>
      <c r="G524" s="5"/>
      <c r="H524" s="5"/>
      <c r="I524" s="5"/>
    </row>
    <row r="525" spans="2:9" s="4" customFormat="1" x14ac:dyDescent="0.25">
      <c r="B525" s="15"/>
      <c r="C525" s="5"/>
      <c r="D525" s="6"/>
      <c r="E525" s="2"/>
      <c r="F525" s="15"/>
      <c r="G525" s="5"/>
      <c r="H525" s="5"/>
      <c r="I525" s="5"/>
    </row>
    <row r="526" spans="2:9" s="4" customFormat="1" x14ac:dyDescent="0.25">
      <c r="B526" s="15"/>
      <c r="C526" s="5"/>
      <c r="D526" s="6"/>
      <c r="E526" s="2"/>
      <c r="F526" s="15"/>
      <c r="G526" s="5"/>
      <c r="H526" s="5"/>
      <c r="I526" s="5"/>
    </row>
    <row r="527" spans="2:9" s="4" customFormat="1" x14ac:dyDescent="0.25">
      <c r="B527" s="15"/>
      <c r="C527" s="5"/>
      <c r="D527" s="6"/>
      <c r="E527" s="2"/>
      <c r="F527" s="15"/>
      <c r="G527" s="5"/>
      <c r="H527" s="5"/>
      <c r="I527" s="5"/>
    </row>
    <row r="528" spans="2:9" s="4" customFormat="1" x14ac:dyDescent="0.25">
      <c r="B528" s="15"/>
      <c r="C528" s="5"/>
      <c r="D528" s="6"/>
      <c r="E528" s="2"/>
      <c r="F528" s="15"/>
      <c r="G528" s="5"/>
      <c r="H528" s="5"/>
      <c r="I528" s="5"/>
    </row>
    <row r="529" spans="1:9" s="4" customFormat="1" x14ac:dyDescent="0.25">
      <c r="B529" s="15"/>
      <c r="C529" s="5"/>
      <c r="D529" s="6"/>
      <c r="E529" s="2"/>
      <c r="F529" s="15"/>
      <c r="G529" s="5"/>
      <c r="H529" s="5"/>
      <c r="I529" s="5"/>
    </row>
    <row r="530" spans="1:9" s="4" customFormat="1" x14ac:dyDescent="0.25">
      <c r="B530" s="15"/>
      <c r="C530" s="5"/>
      <c r="D530" s="6"/>
      <c r="E530" s="2"/>
      <c r="F530" s="15"/>
      <c r="G530" s="5"/>
      <c r="H530" s="5"/>
      <c r="I530" s="5"/>
    </row>
    <row r="531" spans="1:9" s="4" customFormat="1" x14ac:dyDescent="0.25">
      <c r="B531" s="15"/>
      <c r="C531" s="5"/>
      <c r="D531" s="6"/>
      <c r="E531" s="2"/>
      <c r="F531" s="15"/>
      <c r="G531" s="5"/>
      <c r="H531" s="5"/>
      <c r="I531" s="5"/>
    </row>
    <row r="532" spans="1:9" s="4" customFormat="1" x14ac:dyDescent="0.25">
      <c r="B532" s="15"/>
      <c r="C532" s="5"/>
      <c r="D532" s="6"/>
      <c r="E532" s="2"/>
      <c r="F532" s="20"/>
      <c r="G532" s="5"/>
      <c r="H532" s="5"/>
      <c r="I532" s="5"/>
    </row>
    <row r="533" spans="1:9" s="4" customFormat="1" x14ac:dyDescent="0.25">
      <c r="B533" s="15"/>
      <c r="C533" s="5"/>
      <c r="D533" s="6"/>
      <c r="E533" s="2"/>
      <c r="F533" s="20"/>
      <c r="G533" s="5"/>
      <c r="H533" s="5"/>
      <c r="I533" s="5"/>
    </row>
    <row r="534" spans="1:9" s="4" customFormat="1" x14ac:dyDescent="0.25">
      <c r="B534" s="15"/>
      <c r="C534" s="5"/>
      <c r="D534" s="6"/>
      <c r="E534" s="2"/>
      <c r="F534" s="20"/>
      <c r="G534" s="5"/>
      <c r="H534" s="5"/>
      <c r="I534" s="5"/>
    </row>
    <row r="535" spans="1:9" s="4" customFormat="1" x14ac:dyDescent="0.25">
      <c r="B535" s="15"/>
      <c r="C535" s="5"/>
      <c r="D535" s="6"/>
      <c r="E535" s="2"/>
      <c r="F535" s="20"/>
      <c r="G535" s="5"/>
      <c r="H535" s="5"/>
      <c r="I535" s="5"/>
    </row>
    <row r="536" spans="1:9" s="4" customFormat="1" x14ac:dyDescent="0.25">
      <c r="A536" s="3"/>
      <c r="B536" s="15"/>
      <c r="C536" s="5"/>
      <c r="D536" s="6"/>
      <c r="E536" s="1"/>
      <c r="F536" s="20"/>
      <c r="G536" s="5"/>
      <c r="H536" s="5"/>
      <c r="I536" s="5"/>
    </row>
    <row r="537" spans="1:9" s="4" customFormat="1" x14ac:dyDescent="0.25">
      <c r="A537" s="3"/>
      <c r="B537" s="15"/>
      <c r="C537" s="5"/>
      <c r="D537" s="6"/>
      <c r="E537" s="1"/>
      <c r="F537" s="20"/>
      <c r="G537" s="5"/>
      <c r="H537" s="5"/>
      <c r="I537" s="5"/>
    </row>
    <row r="538" spans="1:9" s="4" customFormat="1" x14ac:dyDescent="0.25">
      <c r="A538" s="3"/>
      <c r="B538" s="15"/>
      <c r="C538" s="5"/>
      <c r="D538" s="6"/>
      <c r="E538" s="1"/>
      <c r="F538" s="20"/>
      <c r="G538" s="5"/>
      <c r="H538" s="5"/>
      <c r="I538" s="5"/>
    </row>
    <row r="539" spans="1:9" s="4" customFormat="1" x14ac:dyDescent="0.25">
      <c r="A539" s="3"/>
      <c r="B539" s="15"/>
      <c r="C539" s="5"/>
      <c r="D539" s="6"/>
      <c r="E539" s="1"/>
      <c r="F539" s="20"/>
      <c r="G539" s="5"/>
      <c r="H539" s="5"/>
      <c r="I539" s="5"/>
    </row>
    <row r="540" spans="1:9" s="4" customFormat="1" x14ac:dyDescent="0.25">
      <c r="A540" s="3"/>
      <c r="B540" s="15"/>
      <c r="C540" s="5"/>
      <c r="D540" s="6"/>
      <c r="E540" s="1"/>
      <c r="F540" s="20"/>
      <c r="G540" s="5"/>
      <c r="H540" s="5"/>
      <c r="I540" s="5"/>
    </row>
    <row r="541" spans="1:9" s="4" customFormat="1" x14ac:dyDescent="0.25">
      <c r="A541" s="3"/>
      <c r="B541" s="15"/>
      <c r="C541" s="5"/>
      <c r="D541" s="6"/>
      <c r="E541" s="1"/>
      <c r="F541" s="20"/>
      <c r="G541" s="5"/>
      <c r="H541" s="5"/>
      <c r="I541" s="5"/>
    </row>
    <row r="542" spans="1:9" s="4" customFormat="1" x14ac:dyDescent="0.25">
      <c r="A542" s="3"/>
      <c r="B542" s="15"/>
      <c r="C542" s="5"/>
      <c r="D542" s="6"/>
      <c r="E542" s="1"/>
      <c r="F542" s="20"/>
      <c r="G542" s="5"/>
      <c r="H542" s="5"/>
      <c r="I542" s="5"/>
    </row>
    <row r="543" spans="1:9" s="4" customFormat="1" x14ac:dyDescent="0.25">
      <c r="A543" s="3"/>
      <c r="B543" s="15"/>
      <c r="C543" s="5"/>
      <c r="D543" s="6"/>
      <c r="E543" s="1"/>
      <c r="F543" s="20"/>
      <c r="G543" s="5"/>
      <c r="H543" s="5"/>
      <c r="I543" s="5"/>
    </row>
    <row r="544" spans="1:9" s="4" customFormat="1" x14ac:dyDescent="0.25">
      <c r="A544" s="3"/>
      <c r="B544" s="15"/>
      <c r="C544" s="5"/>
      <c r="D544" s="6"/>
      <c r="E544" s="1"/>
      <c r="F544" s="20"/>
      <c r="G544" s="5"/>
      <c r="H544" s="5"/>
      <c r="I544" s="5"/>
    </row>
    <row r="545" spans="1:9" s="4" customFormat="1" x14ac:dyDescent="0.25">
      <c r="A545" s="3"/>
      <c r="B545" s="15"/>
      <c r="C545" s="5"/>
      <c r="D545" s="6"/>
      <c r="E545" s="1"/>
      <c r="F545" s="20"/>
      <c r="G545" s="5"/>
      <c r="H545" s="5"/>
      <c r="I545" s="5"/>
    </row>
    <row r="546" spans="1:9" s="4" customFormat="1" x14ac:dyDescent="0.25">
      <c r="A546" s="3"/>
      <c r="B546" s="15"/>
      <c r="C546" s="5"/>
      <c r="D546" s="6"/>
      <c r="E546" s="1"/>
      <c r="F546" s="20"/>
      <c r="G546" s="5"/>
      <c r="H546" s="5"/>
      <c r="I546" s="5"/>
    </row>
    <row r="547" spans="1:9" s="4" customFormat="1" x14ac:dyDescent="0.25">
      <c r="A547" s="3"/>
      <c r="B547" s="15"/>
      <c r="C547" s="5"/>
      <c r="D547" s="6"/>
      <c r="E547" s="1"/>
      <c r="F547" s="20"/>
      <c r="G547" s="5"/>
      <c r="H547" s="5"/>
      <c r="I547" s="5"/>
    </row>
  </sheetData>
  <autoFilter ref="A1:I501" xr:uid="{00000000-0001-0000-0000-000000000000}"/>
  <sortState xmlns:xlrd2="http://schemas.microsoft.com/office/spreadsheetml/2017/richdata2" ref="A2:F501">
    <sortCondition descending="1" ref="A2:A501"/>
  </sortState>
  <conditionalFormatting sqref="D446">
    <cfRule type="duplicateValues" dxfId="0" priority="13"/>
  </conditionalFormatting>
  <printOptions horizontalCentered="1"/>
  <pageMargins left="0.39370078740157483" right="0.39370078740157483" top="0.98425196850393704" bottom="0.39370078740157483" header="0.19685039370078741" footer="0.27559055118110237"/>
  <pageSetup paperSize="9" scale="60" orientation="landscape" r:id="rId1"/>
  <headerFooter>
    <oddHeader>&amp;L&amp;G&amp;R&amp;G</oddHeader>
    <oddFooter>&amp;C&amp;6Page &amp;P of &amp;N&amp;R&amp;8&amp;D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cced3b-310d-45b8-97bf-d36cbbb5d34b">
      <Terms xmlns="http://schemas.microsoft.com/office/infopath/2007/PartnerControls"/>
    </lcf76f155ced4ddcb4097134ff3c332f>
    <TaxCatchAll xmlns="991330b7-a67c-4846-8b6a-4c888ec2572d" xsi:nil="true"/>
    <Image xmlns="f0cced3b-310d-45b8-97bf-d36cbbb5d34b" xsi:nil="true"/>
    <Thumbnail xmlns="f0cced3b-310d-45b8-97bf-d36cbbb5d3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AB4D28DC30974F8DF13AF3195573DD" ma:contentTypeVersion="20" ma:contentTypeDescription="Create a new document." ma:contentTypeScope="" ma:versionID="823a92aa29b5458155b45661f9e17c10">
  <xsd:schema xmlns:xsd="http://www.w3.org/2001/XMLSchema" xmlns:xs="http://www.w3.org/2001/XMLSchema" xmlns:p="http://schemas.microsoft.com/office/2006/metadata/properties" xmlns:ns2="f0cced3b-310d-45b8-97bf-d36cbbb5d34b" xmlns:ns3="991330b7-a67c-4846-8b6a-4c888ec2572d" targetNamespace="http://schemas.microsoft.com/office/2006/metadata/properties" ma:root="true" ma:fieldsID="7e8f2115ee0fde20b203cd84bc28bc18" ns2:_="" ns3:_="">
    <xsd:import namespace="f0cced3b-310d-45b8-97bf-d36cbbb5d34b"/>
    <xsd:import namespace="991330b7-a67c-4846-8b6a-4c888ec257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Image" minOccurs="0"/>
                <xsd:element ref="ns2:Thumbnai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ced3b-310d-45b8-97bf-d36cbbb5d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f8c4553-6a3d-466f-a6fa-79c540e77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Thumbnail" ma:index="23" nillable="true" ma:displayName="Thumbnail" ma:format="Thumbnail" ma:internalName="Thumbnail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330b7-a67c-4846-8b6a-4c888ec257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37bc7ec-cbc9-4bcf-8d17-dd1594e126aa}" ma:internalName="TaxCatchAll" ma:showField="CatchAllData" ma:web="991330b7-a67c-4846-8b6a-4c888ec257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CCDE5C-6FE0-43B2-A00C-3C06856B9078}">
  <ds:schemaRefs>
    <ds:schemaRef ds:uri="http://schemas.microsoft.com/office/2006/metadata/properties"/>
    <ds:schemaRef ds:uri="http://schemas.microsoft.com/office/infopath/2007/PartnerControls"/>
    <ds:schemaRef ds:uri="f0cced3b-310d-45b8-97bf-d36cbbb5d34b"/>
    <ds:schemaRef ds:uri="991330b7-a67c-4846-8b6a-4c888ec2572d"/>
  </ds:schemaRefs>
</ds:datastoreItem>
</file>

<file path=customXml/itemProps2.xml><?xml version="1.0" encoding="utf-8"?>
<ds:datastoreItem xmlns:ds="http://schemas.openxmlformats.org/officeDocument/2006/customXml" ds:itemID="{6693B7F3-7A10-4F0B-BE65-E756681DE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ced3b-310d-45b8-97bf-d36cbbb5d34b"/>
    <ds:schemaRef ds:uri="991330b7-a67c-4846-8b6a-4c888ec257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2391B-351D-4619-80C4-D99E59EF0B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 1 - 500</vt:lpstr>
      <vt:lpstr>'SP 1 - 500'!Print_Area</vt:lpstr>
      <vt:lpstr>'SP 1 - 500'!Print_Titles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Angel</dc:creator>
  <cp:keywords/>
  <dc:description/>
  <cp:lastModifiedBy>Dawn Angel</cp:lastModifiedBy>
  <cp:revision/>
  <dcterms:created xsi:type="dcterms:W3CDTF">2013-09-25T10:08:12Z</dcterms:created>
  <dcterms:modified xsi:type="dcterms:W3CDTF">2025-04-08T09:55:01Z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0x0101002AAB4D28DC30974F8DF13AF3195573DD</vt:lpwstr>
  </property>
  <property fmtid="{D5CDD505-2E9C-101B-9397-08002B2CF9AE}" pid="3" name="Order">
    <vt:r8>2000</vt:r8>
  </property>
  <property fmtid="{D5CDD505-2E9C-101B-9397-08002B2CF9AE}" pid="4" name="MediaServiceImageTags">
    <vt:lpwstr/>
  </property>
</Properties>
</file>